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sped\Desktop\MPOL\"/>
    </mc:Choice>
  </mc:AlternateContent>
  <workbookProtection workbookPassword="B44F" lockStructure="1"/>
  <bookViews>
    <workbookView xWindow="0" yWindow="0" windowWidth="27360" windowHeight="894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38" i="7" l="1"/>
  <c r="C30" i="7" l="1"/>
  <c r="C26" i="7" l="1"/>
  <c r="C48" i="25" l="1"/>
  <c r="C47" i="25"/>
  <c r="C33" i="25"/>
  <c r="C32" i="25"/>
  <c r="C30" i="25"/>
  <c r="C29" i="25"/>
  <c r="C45" i="25"/>
  <c r="C44" i="25"/>
  <c r="D31" i="22"/>
  <c r="D19" i="22"/>
  <c r="D13" i="22"/>
  <c r="C28" i="25" l="1"/>
  <c r="D38" i="22"/>
  <c r="D27" i="22"/>
  <c r="D26" i="22"/>
  <c r="D25" i="22"/>
  <c r="D24" i="22"/>
  <c r="D22" i="22"/>
  <c r="D34" i="22"/>
  <c r="C35" i="7" l="1"/>
  <c r="C17" i="7"/>
  <c r="C21" i="7" l="1"/>
  <c r="C42" i="7" l="1"/>
  <c r="C37" i="22" l="1"/>
  <c r="C19" i="7" l="1"/>
  <c r="C18" i="7"/>
  <c r="C15" i="7"/>
  <c r="C14" i="7"/>
  <c r="B9" i="7" l="1"/>
  <c r="C9" i="7"/>
  <c r="B27" i="25" l="1"/>
  <c r="B24" i="24" s="1"/>
  <c r="B19" i="25"/>
  <c r="B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0" i="24" s="1"/>
  <c r="D41" i="25"/>
  <c r="D38" i="24"/>
  <c r="D40" i="25"/>
  <c r="D37" i="24" s="1"/>
  <c r="D39" i="25"/>
  <c r="D36" i="24" s="1"/>
  <c r="D38" i="25"/>
  <c r="D35" i="24" s="1"/>
  <c r="C37" i="25"/>
  <c r="C34" i="24" s="1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/>
  <c r="D25" i="25"/>
  <c r="D22" i="24"/>
  <c r="D24" i="25"/>
  <c r="D21" i="24" s="1"/>
  <c r="D23" i="25"/>
  <c r="D20" i="24" s="1"/>
  <c r="D22" i="25"/>
  <c r="D19" i="24" s="1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B10" i="24" s="1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2"/>
  <c r="C12" i="20" s="1"/>
  <c r="B29" i="7"/>
  <c r="B28" i="6" s="1"/>
  <c r="B28" i="12"/>
  <c r="B26" i="13" s="1"/>
  <c r="D41" i="7"/>
  <c r="D40" i="6" s="1"/>
  <c r="D42" i="7"/>
  <c r="D41" i="6" s="1"/>
  <c r="D43" i="7"/>
  <c r="D42" i="6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D9" i="7"/>
  <c r="D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/>
  <c r="G19" i="12"/>
  <c r="G17" i="13" s="1"/>
  <c r="G20" i="12"/>
  <c r="G18" i="13"/>
  <c r="G21" i="12"/>
  <c r="G19" i="13" s="1"/>
  <c r="G22" i="12"/>
  <c r="G20" i="13"/>
  <c r="G23" i="12"/>
  <c r="G21" i="13" s="1"/>
  <c r="G24" i="12"/>
  <c r="G22" i="13" s="1"/>
  <c r="G25" i="12"/>
  <c r="G23" i="13" s="1"/>
  <c r="G26" i="12"/>
  <c r="G24" i="13"/>
  <c r="G27" i="12"/>
  <c r="G25" i="13" s="1"/>
  <c r="C28" i="12"/>
  <c r="C47" i="12" s="1"/>
  <c r="C45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D39" i="7" s="1"/>
  <c r="D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C26" i="13" l="1"/>
  <c r="D47" i="12"/>
  <c r="D45" i="13" s="1"/>
  <c r="D51" i="25"/>
  <c r="D48" i="24" s="1"/>
  <c r="B47" i="12"/>
  <c r="B45" i="13" s="1"/>
  <c r="B11" i="25"/>
  <c r="B8" i="24" s="1"/>
  <c r="D19" i="25"/>
  <c r="D16" i="24" s="1"/>
  <c r="C42" i="25"/>
  <c r="C11" i="25"/>
  <c r="D13" i="25"/>
  <c r="D10" i="24" s="1"/>
  <c r="E33" i="22"/>
  <c r="E33" i="20" s="1"/>
  <c r="E47" i="12"/>
  <c r="E45" i="13" s="1"/>
  <c r="G28" i="12"/>
  <c r="G26" i="13" s="1"/>
  <c r="B48" i="24"/>
  <c r="B42" i="25"/>
  <c r="B39" i="24" s="1"/>
  <c r="B56" i="25"/>
  <c r="B53" i="24" s="1"/>
  <c r="C11" i="22"/>
  <c r="E12" i="22"/>
  <c r="E12" i="20" s="1"/>
  <c r="B34" i="24"/>
  <c r="F26" i="13"/>
  <c r="D11" i="22"/>
  <c r="D29" i="7"/>
  <c r="D28" i="6" s="1"/>
  <c r="D27" i="25"/>
  <c r="D24" i="24" s="1"/>
  <c r="B47" i="7"/>
  <c r="B46" i="6" s="1"/>
  <c r="C47" i="7"/>
  <c r="C49" i="7" s="1"/>
  <c r="C48" i="6" s="1"/>
  <c r="D43" i="25"/>
  <c r="D40" i="24" s="1"/>
  <c r="C40" i="24"/>
  <c r="D37" i="25"/>
  <c r="D34" i="24" s="1"/>
  <c r="G31" i="13"/>
  <c r="C38" i="6"/>
  <c r="E37" i="22"/>
  <c r="E37" i="20" s="1"/>
  <c r="E20" i="22"/>
  <c r="E20" i="20" s="1"/>
  <c r="C56" i="25"/>
  <c r="C53" i="24" s="1"/>
  <c r="C10" i="24"/>
  <c r="B34" i="25" l="1"/>
  <c r="B31" i="24" s="1"/>
  <c r="D11" i="25"/>
  <c r="D8" i="24" s="1"/>
  <c r="D42" i="25"/>
  <c r="D39" i="24" s="1"/>
  <c r="C39" i="24"/>
  <c r="C34" i="25"/>
  <c r="C8" i="24"/>
  <c r="G47" i="12"/>
  <c r="G45" i="13" s="1"/>
  <c r="C11" i="20"/>
  <c r="C32" i="22"/>
  <c r="D11" i="20"/>
  <c r="E11" i="22"/>
  <c r="E11" i="20" s="1"/>
  <c r="D32" i="22"/>
  <c r="D41" i="22" s="1"/>
  <c r="D41" i="20" s="1"/>
  <c r="D47" i="7"/>
  <c r="D46" i="6" s="1"/>
  <c r="C46" i="6"/>
  <c r="B49" i="7"/>
  <c r="B48" i="6" s="1"/>
  <c r="D56" i="25"/>
  <c r="D53" i="24" s="1"/>
  <c r="D34" i="25" l="1"/>
  <c r="D31" i="24" s="1"/>
  <c r="C31" i="24"/>
  <c r="C32" i="20"/>
  <c r="C41" i="22"/>
  <c r="C43" i="22" s="1"/>
  <c r="D32" i="20"/>
  <c r="E32" i="22"/>
  <c r="E32" i="20" s="1"/>
  <c r="D49" i="7"/>
  <c r="D48" i="6" s="1"/>
  <c r="D43" i="22"/>
  <c r="E43" i="22" l="1"/>
  <c r="E43" i="20" s="1"/>
  <c r="C41" i="20"/>
  <c r="E41" i="22"/>
  <c r="E41" i="20" s="1"/>
  <c r="D45" i="22"/>
  <c r="D43" i="20"/>
  <c r="C43" i="20" l="1"/>
  <c r="C45" i="22"/>
  <c r="D45" i="20"/>
  <c r="D47" i="22"/>
  <c r="D49" i="22"/>
  <c r="C45" i="20" l="1"/>
  <c r="C47" i="22"/>
  <c r="C47" i="20" s="1"/>
  <c r="C49" i="22"/>
  <c r="C49" i="20" s="1"/>
  <c r="E45" i="22"/>
  <c r="E45" i="20" s="1"/>
  <c r="D47" i="20"/>
  <c r="D49" i="20"/>
  <c r="E49" i="22" l="1"/>
  <c r="E49" i="20" s="1"/>
  <c r="E47" i="22"/>
  <c r="E47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<sst xmlns="http://schemas.openxmlformats.org/spreadsheetml/2006/main" count="475" uniqueCount="381">
  <si>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</si>
  <si>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</si>
  <si>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</si>
  <si>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</si>
  <si>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</si>
  <si>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</si>
  <si>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</si>
  <si>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</si>
  <si>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</si>
  <si>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</si>
  <si>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</si>
  <si>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</si>
  <si>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</si>
  <si>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</si>
  <si>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</si>
  <si>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</si>
  <si>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</si>
  <si>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</si>
  <si>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</si>
  <si>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</si>
  <si>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</si>
  <si>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</si>
  <si>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</si>
  <si>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</si>
  <si>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</si>
  <si>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</si>
  <si>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</si>
  <si>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</si>
  <si>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</si>
  <si>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</si>
  <si>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</si>
  <si>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</si>
  <si>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</si>
  <si>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</si>
  <si>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</si>
  <si>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</si>
  <si>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</si>
  <si>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</si>
  <si>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</si>
  <si>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</si>
  <si>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</si>
  <si>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</si>
  <si>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</si>
  <si>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</si>
  <si>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</si>
  <si>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</si>
  <si>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</si>
  <si>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</si>
  <si>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</si>
  <si>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</si>
  <si>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</si>
  <si>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</si>
  <si>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</si>
  <si>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</si>
  <si>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</si>
  <si>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</si>
  <si>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</si>
  <si>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</si>
  <si>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</si>
  <si>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</si>
  <si>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</si>
  <si>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</si>
  <si>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</si>
  <si>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</si>
  <si>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</si>
  <si>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</si>
  <si>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</si>
  <si>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</si>
  <si>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</si>
  <si>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</si>
  <si>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</si>
  <si>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</si>
  <si>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</si>
  <si>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</si>
  <si>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</si>
  <si>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</si>
  <si>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</si>
  <si>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</si>
  <si>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</si>
  <si>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</si>
  <si>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</si>
  <si>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</si>
  <si>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</si>
  <si>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</si>
  <si>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</si>
  <si>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</si>
  <si>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</si>
  <si>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</si>
  <si>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</si>
  <si>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</si>
  <si>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</si>
  <si>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</si>
  <si>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</si>
  <si>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</si>
  <si>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</si>
  <si>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</si>
  <si>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</si>
  <si>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</si>
  <si>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</si>
  <si>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</si>
  <si>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</si>
  <si>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</si>
  <si>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</si>
  <si>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</si>
  <si>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</si>
  <si>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</si>
  <si>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</si>
  <si>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</si>
  <si>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</si>
  <si>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</si>
  <si>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</si>
  <si>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</si>
  <si>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</si>
  <si>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</si>
  <si>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</si>
  <si>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</si>
  <si>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</si>
  <si>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</si>
  <si>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</si>
  <si>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</si>
  <si>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</si>
  <si>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</si>
  <si>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</si>
  <si>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</si>
  <si>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</si>
  <si>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</si>
  <si>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</si>
  <si>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</si>
  <si>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</si>
  <si>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</si>
  <si>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</si>
  <si>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</si>
  <si>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</si>
  <si>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</si>
  <si>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</si>
  <si>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</si>
  <si>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</si>
  <si>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</si>
  <si>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</si>
  <si>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</si>
  <si>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</si>
  <si>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</si>
  <si>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</si>
  <si>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</si>
  <si>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</si>
  <si>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</si>
  <si>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</si>
  <si>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</si>
  <si>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</si>
  <si>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</si>
  <si>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</si>
  <si>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</si>
  <si>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</si>
  <si>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</si>
  <si>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</si>
  <si>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</si>
  <si>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</si>
  <si>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</si>
  <si>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</si>
  <si>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</si>
  <si>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</si>
  <si>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</si>
  <si>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</si>
  <si>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</si>
  <si>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</si>
  <si>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</si>
  <si>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</si>
  <si>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</si>
  <si>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</si>
  <si>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</si>
  <si>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</si>
  <si>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</si>
  <si>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</si>
  <si>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</si>
  <si>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</si>
  <si>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</si>
  <si>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</si>
  <si>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</si>
  <si>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</si>
  <si>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</si>
  <si>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</si>
  <si>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</si>
  <si>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</si>
  <si>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</si>
  <si>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</si>
  <si>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</si>
  <si>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</si>
  <si>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</si>
  <si>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</si>
  <si>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</si>
  <si>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</si>
  <si>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</si>
  <si>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</si>
  <si>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</si>
  <si>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</si>
  <si>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</si>
  <si>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</si>
  <si>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</si>
  <si>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</si>
  <si>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</si>
  <si>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</si>
  <si>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</si>
  <si>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</si>
  <si>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</si>
  <si>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</si>
  <si>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</si>
  <si>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</si>
  <si>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</si>
  <si>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</si>
  <si>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</si>
  <si>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</si>
  <si>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</si>
  <si>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</si>
  <si>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</si>
  <si>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</si>
  <si>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</si>
  <si>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</si>
  <si>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</si>
  <si>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</si>
  <si>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</si>
  <si>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</si>
  <si>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</si>
  <si>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</si>
  <si>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</si>
  <si>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</si>
  <si>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</si>
  <si>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</si>
  <si>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</si>
  <si>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</si>
  <si>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</si>
  <si>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</si>
  <si>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</si>
  <si>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</si>
  <si>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</si>
  <si>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</si>
  <si>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</si>
  <si>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</si>
  <si>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</si>
  <si>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</si>
  <si>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</si>
  <si>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</si>
  <si>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</si>
  <si>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</si>
  <si>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</si>
  <si>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</si>
  <si>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</si>
  <si>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</si>
  <si>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</si>
  <si>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</si>
  <si>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</si>
  <si>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</si>
  <si>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</si>
  <si>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</si>
  <si>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</si>
  <si>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</si>
  <si>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</si>
  <si>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</si>
  <si>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</si>
  <si>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</si>
  <si>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</si>
  <si>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</si>
  <si>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</si>
  <si>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</si>
  <si>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</si>
  <si>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</si>
  <si>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</si>
  <si>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</si>
  <si>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</si>
  <si>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</si>
  <si>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</si>
  <si>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</si>
  <si>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</si>
  <si>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</si>
  <si>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</si>
  <si>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</si>
  <si>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</si>
  <si>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</si>
  <si>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</si>
  <si>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</si>
  <si>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</si>
  <si>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</si>
  <si>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</si>
  <si>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</si>
  <si>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</si>
  <si>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</si>
  <si>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</si>
  <si>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</si>
  <si>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</si>
  <si>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</si>
  <si>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</si>
  <si>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</si>
  <si>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</si>
  <si>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</si>
  <si>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</si>
  <si>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</si>
  <si>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</si>
  <si>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</si>
  <si>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</si>
  <si>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</si>
  <si>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</si>
  <si>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</si>
  <si>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</si>
  <si>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</si>
  <si>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</si>
  <si>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</si>
  <si>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</si>
  <si>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</si>
  <si>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</si>
  <si>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</si>
  <si>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</si>
  <si>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</si>
  <si>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</si>
  <si>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</si>
  <si>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</si>
  <si>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</si>
  <si>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</si>
  <si>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</si>
  <si>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</si>
  <si>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</si>
  <si>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</si>
  <si>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</si>
  <si>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</si>
  <si>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</si>
  <si>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</si>
  <si>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</si>
  <si>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</si>
  <si>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</si>
  <si>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</si>
  <si>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</si>
  <si>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</si>
  <si>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</si>
  <si>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</si>
  <si>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</si>
  <si>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</si>
  <si>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</si>
  <si>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</si>
  <si>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</si>
  <si>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</si>
  <si>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</si>
  <si>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</si>
  <si>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</si>
  <si>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</si>
  <si>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</si>
  <si>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</si>
  <si>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</si>
  <si>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</si>
  <si>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</si>
  <si>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</si>
  <si>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</si>
  <si>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</si>
  <si>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</si>
  <si>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</si>
  <si>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</si>
  <si>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</si>
  <si>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</si>
  <si>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</si>
  <si>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</si>
  <si>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</si>
  <si>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</si>
  <si>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</si>
  <si>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</si>
  <si>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</si>
  <si>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</si>
  <si>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</si>
  <si>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</si>
  <si>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</si>
  <si>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</si>
  <si>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</si>
  <si>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</si>
  <si>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</si>
  <si>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</si>
  <si>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</si>
  <si>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</si>
  <si>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</si>
  <si>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</si>
  <si>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</si>
  <si>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</si>
  <si>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</si>
  <si>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</si>
  <si>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</si>
  <si>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Хотели- Метропол АД Охрид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</si>
</sst>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zvestai\2019\berza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3" workbookViewId="0">
      <selection activeCell="C18" sqref="C18:G18"/>
    </sheetView>
  </sheetViews>
  <sheetFormatPr defaultColWidth="9.140625"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8">
        <v>5228883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2020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325</v>
      </c>
      <c r="C32" s="226"/>
      <c r="D32" s="226"/>
      <c r="E32" s="226"/>
      <c r="F32" s="226"/>
      <c r="G32" s="226"/>
      <c r="H32" s="227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3" zoomScale="120" workbookViewId="0">
      <selection activeCell="C32" sqref="C32"/>
    </sheetView>
  </sheetViews>
  <sheetFormatPr defaultColWidth="9.140625"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Хотели- Метропол АД Охрид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2020</v>
      </c>
      <c r="C3" s="102"/>
      <c r="D3" s="103"/>
    </row>
    <row r="4" spans="1:6" x14ac:dyDescent="0.2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525623</v>
      </c>
      <c r="C11" s="75">
        <f>C12+C13+C18+C19+C25+C26</f>
        <v>451302</v>
      </c>
      <c r="D11" s="75">
        <f t="shared" ref="D11:D35" si="0">IF(B11&lt;=0,0,C11/B11*100)</f>
        <v>85.860398041942602</v>
      </c>
      <c r="F11" s="111"/>
    </row>
    <row r="12" spans="1:6" ht="14.25" thickTop="1" thickBot="1" x14ac:dyDescent="0.25">
      <c r="A12" s="87" t="s">
        <v>160</v>
      </c>
      <c r="B12" s="94">
        <v>245</v>
      </c>
      <c r="C12" s="94">
        <v>156</v>
      </c>
      <c r="D12" s="75">
        <f t="shared" si="0"/>
        <v>63.673469387755098</v>
      </c>
      <c r="F12" s="111"/>
    </row>
    <row r="13" spans="1:6" ht="14.25" thickTop="1" thickBot="1" x14ac:dyDescent="0.25">
      <c r="A13" s="87" t="s">
        <v>294</v>
      </c>
      <c r="B13" s="75">
        <f>SUM(B14:B17)</f>
        <v>412612</v>
      </c>
      <c r="C13" s="75">
        <f>SUM(C14:C17)</f>
        <v>428653</v>
      </c>
      <c r="D13" s="75">
        <f t="shared" si="0"/>
        <v>103.88767171095364</v>
      </c>
      <c r="F13" s="111"/>
    </row>
    <row r="14" spans="1:6" ht="14.25" thickTop="1" thickBot="1" x14ac:dyDescent="0.25">
      <c r="A14" s="88" t="s">
        <v>298</v>
      </c>
      <c r="B14" s="77">
        <v>368029</v>
      </c>
      <c r="C14" s="77">
        <v>374660</v>
      </c>
      <c r="D14" s="76">
        <f t="shared" si="0"/>
        <v>101.80176018737654</v>
      </c>
      <c r="F14" s="111"/>
    </row>
    <row r="15" spans="1:6" ht="27" thickTop="1" thickBot="1" x14ac:dyDescent="0.25">
      <c r="A15" s="88" t="s">
        <v>259</v>
      </c>
      <c r="B15" s="77">
        <v>39240</v>
      </c>
      <c r="C15" s="77">
        <v>48189</v>
      </c>
      <c r="D15" s="76">
        <f t="shared" si="0"/>
        <v>122.80581039755351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5343</v>
      </c>
      <c r="C17" s="77">
        <v>5804</v>
      </c>
      <c r="D17" s="76">
        <f t="shared" si="0"/>
        <v>108.62811154781957</v>
      </c>
      <c r="F17" s="111"/>
    </row>
    <row r="18" spans="1:6" ht="14.25" thickTop="1" thickBot="1" x14ac:dyDescent="0.25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f>SUM(B20:B24)</f>
        <v>112766</v>
      </c>
      <c r="C19" s="75">
        <f>SUM(C20:C24)</f>
        <v>22493</v>
      </c>
      <c r="D19" s="75">
        <f t="shared" si="0"/>
        <v>19.94661511448486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90273</v>
      </c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22493</v>
      </c>
      <c r="C23" s="77">
        <v>22493</v>
      </c>
      <c r="D23" s="76">
        <f t="shared" si="0"/>
        <v>100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97851</v>
      </c>
      <c r="C27" s="75">
        <f>SUM(C28:C33)</f>
        <v>60081</v>
      </c>
      <c r="D27" s="75">
        <f t="shared" si="0"/>
        <v>61.400496673513814</v>
      </c>
      <c r="F27" s="111"/>
    </row>
    <row r="28" spans="1:6" ht="14.25" thickTop="1" thickBot="1" x14ac:dyDescent="0.25">
      <c r="A28" s="89" t="s">
        <v>166</v>
      </c>
      <c r="B28" s="77">
        <v>6369</v>
      </c>
      <c r="C28" s="77">
        <f>4447+19</f>
        <v>4466</v>
      </c>
      <c r="D28" s="76">
        <f t="shared" si="0"/>
        <v>70.12089810017271</v>
      </c>
      <c r="F28" s="111"/>
    </row>
    <row r="29" spans="1:6" ht="15.75" customHeight="1" thickTop="1" thickBot="1" x14ac:dyDescent="0.25">
      <c r="A29" s="89" t="s">
        <v>167</v>
      </c>
      <c r="B29" s="77">
        <v>13194</v>
      </c>
      <c r="C29" s="77">
        <f>1478+516+1010+5-7</f>
        <v>3002</v>
      </c>
      <c r="D29" s="76">
        <f t="shared" si="0"/>
        <v>22.752766408973777</v>
      </c>
      <c r="F29" s="111"/>
    </row>
    <row r="30" spans="1:6" ht="14.25" thickTop="1" thickBot="1" x14ac:dyDescent="0.25">
      <c r="A30" s="89" t="s">
        <v>168</v>
      </c>
      <c r="B30" s="77">
        <v>2245</v>
      </c>
      <c r="C30" s="77">
        <f>4160+2384+163</f>
        <v>6707</v>
      </c>
      <c r="D30" s="76">
        <f t="shared" si="0"/>
        <v>298.75278396436522</v>
      </c>
      <c r="F30" s="111"/>
    </row>
    <row r="31" spans="1:6" ht="14.25" thickTop="1" thickBot="1" x14ac:dyDescent="0.25">
      <c r="A31" s="89" t="s">
        <v>169</v>
      </c>
      <c r="B31" s="77">
        <v>9362</v>
      </c>
      <c r="C31" s="77">
        <v>14764</v>
      </c>
      <c r="D31" s="76">
        <f t="shared" si="0"/>
        <v>157.7013458662679</v>
      </c>
      <c r="F31" s="111"/>
    </row>
    <row r="32" spans="1:6" ht="14.25" thickTop="1" thickBot="1" x14ac:dyDescent="0.25">
      <c r="A32" s="89" t="s">
        <v>170</v>
      </c>
      <c r="B32" s="77">
        <v>66014</v>
      </c>
      <c r="C32" s="77">
        <f>29759+391+266+373</f>
        <v>30789</v>
      </c>
      <c r="D32" s="76">
        <f t="shared" si="0"/>
        <v>46.640106644045204</v>
      </c>
      <c r="F32" s="111"/>
    </row>
    <row r="33" spans="1:6" ht="14.25" thickTop="1" thickBot="1" x14ac:dyDescent="0.25">
      <c r="A33" s="89" t="s">
        <v>302</v>
      </c>
      <c r="B33" s="77">
        <v>667</v>
      </c>
      <c r="C33" s="77">
        <f>295+58</f>
        <v>353</v>
      </c>
      <c r="D33" s="76">
        <f t="shared" si="0"/>
        <v>52.92353823088456</v>
      </c>
      <c r="F33" s="111"/>
    </row>
    <row r="34" spans="1:6" ht="14.25" thickTop="1" thickBot="1" x14ac:dyDescent="0.25">
      <c r="A34" s="90" t="s">
        <v>173</v>
      </c>
      <c r="B34" s="75">
        <f>B11+B27</f>
        <v>623474</v>
      </c>
      <c r="C34" s="75">
        <f>C11+C27</f>
        <v>511383</v>
      </c>
      <c r="D34" s="75">
        <f t="shared" si="0"/>
        <v>82.021543801345359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538157</v>
      </c>
      <c r="C37" s="75">
        <f>(SUM(C38:C41))</f>
        <v>455633</v>
      </c>
      <c r="D37" s="75">
        <f t="shared" ref="D37:D57" si="1">IF(B37&lt;=0,0,C37/B37*100)</f>
        <v>84.665441497555548</v>
      </c>
      <c r="F37" s="111"/>
    </row>
    <row r="38" spans="1:6" ht="14.25" thickTop="1" thickBot="1" x14ac:dyDescent="0.25">
      <c r="A38" s="88" t="s">
        <v>299</v>
      </c>
      <c r="B38" s="77">
        <v>311343</v>
      </c>
      <c r="C38" s="77">
        <v>311343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31457</v>
      </c>
      <c r="C39" s="77">
        <v>33427</v>
      </c>
      <c r="D39" s="76">
        <f t="shared" si="1"/>
        <v>106.26251708681693</v>
      </c>
      <c r="F39" s="111"/>
    </row>
    <row r="40" spans="1:6" ht="14.25" thickTop="1" thickBot="1" x14ac:dyDescent="0.25">
      <c r="A40" s="88" t="s">
        <v>128</v>
      </c>
      <c r="B40" s="77">
        <v>195357</v>
      </c>
      <c r="C40" s="77">
        <v>110863</v>
      </c>
      <c r="D40" s="76">
        <f t="shared" si="1"/>
        <v>56.74892632462619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85317</v>
      </c>
      <c r="C42" s="75">
        <f>C43+C51</f>
        <v>55750</v>
      </c>
      <c r="D42" s="75">
        <f t="shared" si="1"/>
        <v>65.344538603091991</v>
      </c>
      <c r="F42" s="111"/>
    </row>
    <row r="43" spans="1:6" ht="14.25" thickTop="1" thickBot="1" x14ac:dyDescent="0.25">
      <c r="A43" s="90" t="s">
        <v>178</v>
      </c>
      <c r="B43" s="75">
        <f>SUM(B44:B50)</f>
        <v>43948</v>
      </c>
      <c r="C43" s="75">
        <f>SUM(C44:C50)</f>
        <v>39285</v>
      </c>
      <c r="D43" s="75">
        <f t="shared" si="1"/>
        <v>89.389733321197781</v>
      </c>
      <c r="F43" s="111"/>
    </row>
    <row r="44" spans="1:6" ht="14.25" thickTop="1" thickBot="1" x14ac:dyDescent="0.25">
      <c r="A44" s="88" t="s">
        <v>179</v>
      </c>
      <c r="B44" s="77">
        <v>13478</v>
      </c>
      <c r="C44" s="77">
        <f>1837+11470</f>
        <v>13307</v>
      </c>
      <c r="D44" s="76">
        <f t="shared" si="1"/>
        <v>98.731265766434177</v>
      </c>
      <c r="F44" s="107"/>
    </row>
    <row r="45" spans="1:6" ht="14.25" thickTop="1" thickBot="1" x14ac:dyDescent="0.25">
      <c r="A45" s="89" t="s">
        <v>266</v>
      </c>
      <c r="B45" s="77">
        <v>15821</v>
      </c>
      <c r="C45" s="77">
        <f>17563</f>
        <v>17563</v>
      </c>
      <c r="D45" s="76">
        <f t="shared" si="1"/>
        <v>111.01068200493016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5161</v>
      </c>
      <c r="C47" s="77">
        <f>2+112+169+3</f>
        <v>286</v>
      </c>
      <c r="D47" s="76">
        <f t="shared" si="1"/>
        <v>5.5415617128463479</v>
      </c>
      <c r="F47" s="107"/>
    </row>
    <row r="48" spans="1:6" ht="14.25" thickTop="1" thickBot="1" x14ac:dyDescent="0.25">
      <c r="A48" s="89" t="s">
        <v>267</v>
      </c>
      <c r="B48" s="77">
        <v>9488</v>
      </c>
      <c r="C48" s="77">
        <f>2309+1071+2159+7+114+734+43+3+1689</f>
        <v>8129</v>
      </c>
      <c r="D48" s="76">
        <f t="shared" si="1"/>
        <v>85.676644182124789</v>
      </c>
    </row>
    <row r="49" spans="1:4" ht="14.25" thickTop="1" thickBot="1" x14ac:dyDescent="0.25">
      <c r="A49" s="89" t="s">
        <v>303</v>
      </c>
      <c r="B49" s="77"/>
      <c r="C49" s="77"/>
      <c r="D49" s="76">
        <f t="shared" si="1"/>
        <v>0</v>
      </c>
    </row>
    <row r="50" spans="1:4" ht="27" thickTop="1" thickBot="1" x14ac:dyDescent="0.25">
      <c r="A50" s="89" t="s">
        <v>300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41369</v>
      </c>
      <c r="C51" s="75">
        <f>SUM(C52:C55)</f>
        <v>16465</v>
      </c>
      <c r="D51" s="75">
        <f t="shared" si="1"/>
        <v>39.800333583117791</v>
      </c>
    </row>
    <row r="52" spans="1:4" ht="17.25" customHeight="1" thickTop="1" thickBot="1" x14ac:dyDescent="0.25">
      <c r="A52" s="89" t="s">
        <v>326</v>
      </c>
      <c r="B52" s="77">
        <v>41369</v>
      </c>
      <c r="C52" s="77">
        <v>16465</v>
      </c>
      <c r="D52" s="76">
        <f t="shared" si="1"/>
        <v>39.800333583117791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301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623474</v>
      </c>
      <c r="C56" s="75">
        <f>C37+C43+C51</f>
        <v>511383</v>
      </c>
      <c r="D56" s="75">
        <f t="shared" si="1"/>
        <v>82.021543801345359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1" zoomScale="120" zoomScaleNormal="120" workbookViewId="0">
      <selection activeCell="D38" sqref="D38"/>
    </sheetView>
  </sheetViews>
  <sheetFormatPr defaultColWidth="9.140625"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Хотели- Метропол АД Охрид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2020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211655</v>
      </c>
      <c r="D11" s="75">
        <f>D12+D18+D19</f>
        <v>79353</v>
      </c>
      <c r="E11" s="75">
        <f>IF(C11&lt;=0,0,D11/C11*100)</f>
        <v>37.491672769365245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209870</v>
      </c>
      <c r="D12" s="76">
        <f>SUM(D13:D14)</f>
        <v>59357</v>
      </c>
      <c r="E12" s="76">
        <f t="shared" ref="E12:E49" si="0">IF(C12&lt;=0,0,D12/C12*100)</f>
        <v>28.282746462095581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209870</v>
      </c>
      <c r="D13" s="77">
        <f>58584+538+235</f>
        <v>59357</v>
      </c>
      <c r="E13" s="76">
        <f t="shared" si="0"/>
        <v>28.282746462095581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/>
      <c r="D16" s="77"/>
      <c r="E16" s="76">
        <f t="shared" si="0"/>
        <v>0</v>
      </c>
      <c r="G16" s="111"/>
    </row>
    <row r="17" spans="1:7" ht="27" thickTop="1" thickBot="1" x14ac:dyDescent="0.25">
      <c r="A17" s="74">
        <v>5</v>
      </c>
      <c r="B17" s="95" t="s">
        <v>269</v>
      </c>
      <c r="C17" s="77"/>
      <c r="D17" s="77"/>
      <c r="E17" s="76">
        <f t="shared" si="0"/>
        <v>0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1785</v>
      </c>
      <c r="D19" s="77">
        <f>269+39+2366+16301+1021</f>
        <v>19996</v>
      </c>
      <c r="E19" s="76">
        <f t="shared" si="0"/>
        <v>1120.2240896358542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170719</v>
      </c>
      <c r="D20" s="75">
        <f>SUM(D21:D31)</f>
        <v>107524</v>
      </c>
      <c r="E20" s="75">
        <f t="shared" si="0"/>
        <v>62.983030594134213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72</v>
      </c>
      <c r="D21" s="77">
        <v>87</v>
      </c>
      <c r="E21" s="76">
        <f t="shared" si="0"/>
        <v>120.83333333333333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60109</v>
      </c>
      <c r="D22" s="77">
        <f>13617+46+7098+1238</f>
        <v>21999</v>
      </c>
      <c r="E22" s="76">
        <f t="shared" si="0"/>
        <v>36.598512701924832</v>
      </c>
      <c r="G22" s="111"/>
    </row>
    <row r="23" spans="1:7" ht="27" thickTop="1" thickBot="1" x14ac:dyDescent="0.25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12375</v>
      </c>
      <c r="D24" s="77">
        <f>288+779+4011+2419+278+382</f>
        <v>8157</v>
      </c>
      <c r="E24" s="76">
        <f t="shared" si="0"/>
        <v>65.915151515151521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12346</v>
      </c>
      <c r="D25" s="77">
        <f>517+443+850+464+1530+2202</f>
        <v>6006</v>
      </c>
      <c r="E25" s="76">
        <f t="shared" si="0"/>
        <v>48.647335169285597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65584</v>
      </c>
      <c r="D26" s="77">
        <f>45702+463+220+3185</f>
        <v>49570</v>
      </c>
      <c r="E26" s="76">
        <f t="shared" si="0"/>
        <v>75.582459136374723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17015</v>
      </c>
      <c r="D27" s="77">
        <f>21063</f>
        <v>21063</v>
      </c>
      <c r="E27" s="76">
        <f t="shared" si="0"/>
        <v>123.79077284748752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>
        <v>748</v>
      </c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2470</v>
      </c>
      <c r="D31" s="77">
        <f>94+488+60</f>
        <v>642</v>
      </c>
      <c r="E31" s="76">
        <f t="shared" si="0"/>
        <v>25.991902834008094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40936</v>
      </c>
      <c r="D32" s="79">
        <f>D11-D20-D16+D17</f>
        <v>-28171</v>
      </c>
      <c r="E32" s="79">
        <f t="shared" si="0"/>
        <v>-68.8171780340043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3134</v>
      </c>
      <c r="D33" s="79">
        <f>D34+D35+D36</f>
        <v>1012</v>
      </c>
      <c r="E33" s="75">
        <f t="shared" si="0"/>
        <v>32.29100191448628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3134</v>
      </c>
      <c r="D34" s="77">
        <f>479+16+504+13</f>
        <v>1012</v>
      </c>
      <c r="E34" s="76">
        <f t="shared" si="0"/>
        <v>32.29100191448628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2386</v>
      </c>
      <c r="D37" s="75">
        <f>D38+D39+D40</f>
        <v>1353</v>
      </c>
      <c r="E37" s="75">
        <f t="shared" si="0"/>
        <v>56.705783738474437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2384</v>
      </c>
      <c r="D38" s="77">
        <f>720+631</f>
        <v>1351</v>
      </c>
      <c r="E38" s="76">
        <f t="shared" si="0"/>
        <v>56.669463087248317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>
        <v>2</v>
      </c>
      <c r="D39" s="77">
        <v>2</v>
      </c>
      <c r="E39" s="76">
        <f t="shared" si="0"/>
        <v>100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41684</v>
      </c>
      <c r="D41" s="75">
        <f>D32+D33-D37</f>
        <v>-28512</v>
      </c>
      <c r="E41" s="75">
        <f t="shared" si="0"/>
        <v>-68.400345456290182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41684</v>
      </c>
      <c r="D43" s="75">
        <f>D41+D42</f>
        <v>-28512</v>
      </c>
      <c r="E43" s="75">
        <f t="shared" si="0"/>
        <v>-68.400345456290182</v>
      </c>
    </row>
    <row r="44" spans="1:7" ht="14.25" thickTop="1" thickBot="1" x14ac:dyDescent="0.25">
      <c r="A44" s="74">
        <v>26</v>
      </c>
      <c r="B44" s="96" t="s">
        <v>5</v>
      </c>
      <c r="C44" s="77">
        <v>3924</v>
      </c>
      <c r="D44" s="77"/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37760</v>
      </c>
      <c r="D45" s="75">
        <f>D43-D44</f>
        <v>-28512</v>
      </c>
      <c r="E45" s="75">
        <f t="shared" si="0"/>
        <v>-75.508474576271183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37760</v>
      </c>
      <c r="D47" s="75">
        <f>D45-D46</f>
        <v>-28512</v>
      </c>
      <c r="E47" s="75">
        <f t="shared" si="0"/>
        <v>-75.508474576271183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37760</v>
      </c>
      <c r="D49" s="75">
        <f>D45+D48</f>
        <v>-28512</v>
      </c>
      <c r="E49" s="75">
        <f t="shared" si="0"/>
        <v>-75.508474576271183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5" zoomScale="115" workbookViewId="0">
      <selection activeCell="C30" sqref="C30"/>
    </sheetView>
  </sheetViews>
  <sheetFormatPr defaultColWidth="9.140625"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Хотели- Метропол АД Охрид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2020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SUM(B10:B28)</f>
        <v>55634</v>
      </c>
      <c r="C9" s="38">
        <f>SUM(C10:C28)</f>
        <v>-6105</v>
      </c>
      <c r="D9" s="38">
        <f>IF(B9&lt;=0,0,C9/B9*100)</f>
        <v>-10.97350541036057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37760</v>
      </c>
      <c r="C10" s="34">
        <v>-28512</v>
      </c>
      <c r="D10" s="122">
        <f>IF(B10&lt;=0,0,C10/B10*100)</f>
        <v>-75.508474576271183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17015</v>
      </c>
      <c r="C12" s="34">
        <v>21063</v>
      </c>
      <c r="D12" s="122">
        <f t="shared" ref="D12:D28" si="0">IF(B12&lt;=0,0,C12/B12*100)</f>
        <v>123.79077284748752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-265</v>
      </c>
      <c r="C14" s="34">
        <f>'Биланс на состојба'!B28-'Биланс на состојба'!C28</f>
        <v>1903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37</v>
      </c>
      <c r="C15" s="34">
        <f>'Биланс на состојба'!B29-'Биланс на состојба'!C29</f>
        <v>10192</v>
      </c>
      <c r="D15" s="122">
        <f t="shared" si="0"/>
        <v>27545.945945945947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-855</v>
      </c>
      <c r="C17" s="34">
        <f>'Биланс на состојба'!B30-'Биланс на состојба'!C30</f>
        <v>-4462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-13</v>
      </c>
      <c r="C18" s="34">
        <f>'Биланс на состојба'!B33-'Биланс на состојба'!C33</f>
        <v>314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365</v>
      </c>
      <c r="C19" s="34">
        <f>'Биланс на состојба'!C44-'Биланс на состојба'!B44</f>
        <v>-171</v>
      </c>
      <c r="D19" s="122">
        <f t="shared" si="0"/>
        <v>-46.849315068493155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/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2131</v>
      </c>
      <c r="C21" s="34">
        <f>'Биланс на состојба'!C47+'Биланс на состојба'!C48-'Биланс на состојба'!B48-'Биланс на состојба'!B47</f>
        <v>-6234</v>
      </c>
      <c r="D21" s="122">
        <f t="shared" si="0"/>
        <v>-292.53871421867672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/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-541</v>
      </c>
      <c r="C26" s="34">
        <f>-(269-71)</f>
        <v>-198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-34040</v>
      </c>
      <c r="C29" s="38">
        <f>SUM(C30:C38)</f>
        <v>-5958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-21837</v>
      </c>
      <c r="C30" s="34">
        <f>-16937-19642-(11497-11497)-47-461</f>
        <v>-37087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450</v>
      </c>
      <c r="C31" s="34">
        <v>269</v>
      </c>
      <c r="D31" s="122">
        <f t="shared" ref="D31:D38" si="1">IF(B31&lt;=0,0,C31/B31*100)</f>
        <v>59.777777777777771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>
        <v>-8362</v>
      </c>
      <c r="C35" s="34">
        <f>'Биланс на состојба'!B31-'Биланс на состојба'!C31</f>
        <v>-5402</v>
      </c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>
        <v>-4291</v>
      </c>
      <c r="C38" s="34">
        <f>90273-54986+893+82</f>
        <v>36262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-15425</v>
      </c>
      <c r="C39" s="38">
        <f>SUM(C40:C46)</f>
        <v>-23162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>
        <v>1800</v>
      </c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-15281</v>
      </c>
      <c r="C42" s="34">
        <f>'Биланс на состојба'!C52+'Биланс на состојба'!C45-'Биланс на состојба'!B45-'Биланс на состојба'!B52</f>
        <v>-23162</v>
      </c>
      <c r="D42" s="122">
        <f>IF(B42&lt;=0,0,C42/B42*100)</f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ref="D43:D49" si="2">IF(B43&lt;=0,0,C43/B43*100)</f>
        <v>0</v>
      </c>
      <c r="E43" s="7"/>
      <c r="F43" s="7"/>
    </row>
    <row r="44" spans="1:6" ht="14.25" thickTop="1" thickBot="1" x14ac:dyDescent="0.25">
      <c r="A44" s="29" t="s">
        <v>58</v>
      </c>
      <c r="B44" s="34">
        <v>-1788</v>
      </c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-156</v>
      </c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6169</v>
      </c>
      <c r="C47" s="38">
        <f>C9+C29+C39</f>
        <v>-35225</v>
      </c>
      <c r="D47" s="38">
        <f t="shared" si="2"/>
        <v>-571.00016210082674</v>
      </c>
      <c r="E47" s="7"/>
      <c r="F47" s="7"/>
    </row>
    <row r="48" spans="1:6" ht="14.25" thickTop="1" thickBot="1" x14ac:dyDescent="0.25">
      <c r="A48" s="5" t="s">
        <v>60</v>
      </c>
      <c r="B48" s="34">
        <v>59845</v>
      </c>
      <c r="C48" s="34">
        <v>66014</v>
      </c>
      <c r="D48" s="122">
        <f t="shared" si="2"/>
        <v>110.3082964324505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66014</v>
      </c>
      <c r="C49" s="38">
        <f>C47+C48</f>
        <v>30789</v>
      </c>
      <c r="D49" s="38">
        <f t="shared" si="2"/>
        <v>46.640106644045204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4" zoomScale="110" workbookViewId="0">
      <selection activeCell="C39" sqref="C39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Хотели- Метропол АД Охрид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2020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311499</v>
      </c>
      <c r="C9" s="30">
        <v>-1455</v>
      </c>
      <c r="D9" s="30">
        <v>29932</v>
      </c>
      <c r="E9" s="30">
        <v>160565</v>
      </c>
      <c r="F9" s="30"/>
      <c r="G9" s="23">
        <f t="shared" ref="G9:G27" si="0">SUM(B9:F9)</f>
        <v>500541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>
        <v>-156</v>
      </c>
      <c r="C11" s="31"/>
      <c r="D11" s="31"/>
      <c r="E11" s="31"/>
      <c r="F11" s="31"/>
      <c r="G11" s="23">
        <f t="shared" si="0"/>
        <v>-156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37760</v>
      </c>
      <c r="F14" s="31"/>
      <c r="G14" s="23">
        <f t="shared" si="0"/>
        <v>37760</v>
      </c>
    </row>
    <row r="15" spans="1:7" x14ac:dyDescent="0.2">
      <c r="A15" s="19" t="s">
        <v>119</v>
      </c>
      <c r="B15" s="31"/>
      <c r="C15" s="31"/>
      <c r="D15" s="31">
        <v>1525</v>
      </c>
      <c r="E15" s="31">
        <v>-1525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>
        <v>-1788</v>
      </c>
      <c r="D16" s="31"/>
      <c r="E16" s="31"/>
      <c r="F16" s="31"/>
      <c r="G16" s="23">
        <f t="shared" si="0"/>
        <v>-1788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>
        <v>1800</v>
      </c>
      <c r="D27" s="32"/>
      <c r="E27" s="32"/>
      <c r="F27" s="32"/>
      <c r="G27" s="23">
        <f t="shared" si="0"/>
        <v>1800</v>
      </c>
    </row>
    <row r="28" spans="1:7" ht="14.25" thickTop="1" thickBot="1" x14ac:dyDescent="0.25">
      <c r="A28" s="22" t="s">
        <v>132</v>
      </c>
      <c r="B28" s="26">
        <f t="shared" ref="B28:G28" si="1">SUM(B9:B27)</f>
        <v>311343</v>
      </c>
      <c r="C28" s="26">
        <f t="shared" si="1"/>
        <v>-1443</v>
      </c>
      <c r="D28" s="26">
        <f t="shared" si="1"/>
        <v>31457</v>
      </c>
      <c r="E28" s="26">
        <f t="shared" si="1"/>
        <v>196800</v>
      </c>
      <c r="F28" s="26">
        <f t="shared" si="1"/>
        <v>0</v>
      </c>
      <c r="G28" s="26">
        <f t="shared" si="1"/>
        <v>538157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-28512</v>
      </c>
      <c r="F33" s="31"/>
      <c r="G33" s="25">
        <f t="shared" si="2"/>
        <v>-28512</v>
      </c>
    </row>
    <row r="34" spans="1:7" x14ac:dyDescent="0.2">
      <c r="A34" s="19" t="s">
        <v>119</v>
      </c>
      <c r="B34" s="31"/>
      <c r="C34" s="31"/>
      <c r="D34" s="31">
        <v>1888</v>
      </c>
      <c r="E34" s="31">
        <v>-1888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>
        <v>82</v>
      </c>
      <c r="E46" s="32">
        <v>-54093</v>
      </c>
      <c r="F46" s="32"/>
      <c r="G46" s="25">
        <f t="shared" si="2"/>
        <v>-54011</v>
      </c>
    </row>
    <row r="47" spans="1:7" ht="14.25" thickTop="1" thickBot="1" x14ac:dyDescent="0.25">
      <c r="A47" s="22" t="s">
        <v>133</v>
      </c>
      <c r="B47" s="24">
        <f t="shared" ref="B47:G47" si="3">SUM(B28:B46)</f>
        <v>311343</v>
      </c>
      <c r="C47" s="24">
        <f t="shared" si="3"/>
        <v>-1443</v>
      </c>
      <c r="D47" s="24">
        <f t="shared" si="3"/>
        <v>33427</v>
      </c>
      <c r="E47" s="24">
        <f t="shared" si="3"/>
        <v>112307</v>
      </c>
      <c r="F47" s="24">
        <f t="shared" si="3"/>
        <v>0</v>
      </c>
      <c r="G47" s="24">
        <f t="shared" si="3"/>
        <v>455634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ColWidth="9.140625"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Хотели- Метропол АД Охрид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2020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525623</v>
      </c>
      <c r="C8" s="130">
        <f>'Биланс на состојба'!C11</f>
        <v>451302</v>
      </c>
      <c r="D8" s="130">
        <f>'Биланс на состојба'!D11</f>
        <v>85.860398041942602</v>
      </c>
    </row>
    <row r="9" spans="1:4" ht="14.25" thickTop="1" thickBot="1" x14ac:dyDescent="0.25">
      <c r="A9" s="131" t="s">
        <v>189</v>
      </c>
      <c r="B9" s="132">
        <f>'Биланс на состојба'!B12</f>
        <v>245</v>
      </c>
      <c r="C9" s="132">
        <f>'Биланс на состојба'!C12</f>
        <v>156</v>
      </c>
      <c r="D9" s="130">
        <f>'Биланс на состојба'!D12</f>
        <v>63.673469387755098</v>
      </c>
    </row>
    <row r="10" spans="1:4" ht="14.25" thickTop="1" thickBot="1" x14ac:dyDescent="0.25">
      <c r="A10" s="129" t="s">
        <v>190</v>
      </c>
      <c r="B10" s="130">
        <f>'Биланс на состојба'!B13</f>
        <v>412612</v>
      </c>
      <c r="C10" s="130">
        <f>'Биланс на состојба'!C13</f>
        <v>428653</v>
      </c>
      <c r="D10" s="130">
        <f>'Биланс на состојба'!D13</f>
        <v>103.88767171095364</v>
      </c>
    </row>
    <row r="11" spans="1:4" ht="14.25" thickTop="1" thickBot="1" x14ac:dyDescent="0.25">
      <c r="A11" s="133" t="s">
        <v>328</v>
      </c>
      <c r="B11" s="132">
        <f>'Биланс на состојба'!B14</f>
        <v>368029</v>
      </c>
      <c r="C11" s="132">
        <f>'Биланс на состојба'!C14</f>
        <v>374660</v>
      </c>
      <c r="D11" s="134">
        <f>'Биланс на состојба'!D14</f>
        <v>101.80176018737654</v>
      </c>
    </row>
    <row r="12" spans="1:4" ht="14.25" thickTop="1" thickBot="1" x14ac:dyDescent="0.25">
      <c r="A12" s="133" t="s">
        <v>329</v>
      </c>
      <c r="B12" s="132">
        <f>'Биланс на состојба'!B15</f>
        <v>39240</v>
      </c>
      <c r="C12" s="132">
        <f>'Биланс на состојба'!C15</f>
        <v>48189</v>
      </c>
      <c r="D12" s="134">
        <f>'Биланс на состојба'!D15</f>
        <v>122.80581039755351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5343</v>
      </c>
      <c r="C14" s="132">
        <f>'Биланс на состојба'!C17</f>
        <v>5804</v>
      </c>
      <c r="D14" s="134">
        <f>'Биланс на состојба'!D17</f>
        <v>108.62811154781957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112766</v>
      </c>
      <c r="C16" s="130">
        <f>'Биланс на состојба'!C19</f>
        <v>22493</v>
      </c>
      <c r="D16" s="130">
        <f>'Биланс на состојба'!D19</f>
        <v>19.94661511448486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90273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22493</v>
      </c>
      <c r="C20" s="132">
        <f>'Биланс на состојба'!C23</f>
        <v>22493</v>
      </c>
      <c r="D20" s="134">
        <f>'Биланс на состојба'!D23</f>
        <v>100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97851</v>
      </c>
      <c r="C24" s="132">
        <f>'Биланс на состојба'!C27</f>
        <v>60081</v>
      </c>
      <c r="D24" s="130">
        <f>'Биланс на состојба'!D27</f>
        <v>61.400496673513814</v>
      </c>
    </row>
    <row r="25" spans="1:4" ht="14.25" thickTop="1" thickBot="1" x14ac:dyDescent="0.25">
      <c r="A25" s="131" t="s">
        <v>196</v>
      </c>
      <c r="B25" s="130">
        <f>'Биланс на состојба'!B28</f>
        <v>6369</v>
      </c>
      <c r="C25" s="130">
        <f>'Биланс на состојба'!C28</f>
        <v>4466</v>
      </c>
      <c r="D25" s="134">
        <f>'Биланс на состојба'!D28</f>
        <v>70.12089810017271</v>
      </c>
    </row>
    <row r="26" spans="1:4" ht="14.25" thickTop="1" thickBot="1" x14ac:dyDescent="0.25">
      <c r="A26" s="133" t="s">
        <v>197</v>
      </c>
      <c r="B26" s="132">
        <f>'Биланс на состојба'!B29</f>
        <v>13194</v>
      </c>
      <c r="C26" s="132">
        <f>'Биланс на состојба'!C29</f>
        <v>3002</v>
      </c>
      <c r="D26" s="134">
        <f>'Биланс на состојба'!D29</f>
        <v>22.752766408973777</v>
      </c>
    </row>
    <row r="27" spans="1:4" ht="14.25" thickTop="1" thickBot="1" x14ac:dyDescent="0.25">
      <c r="A27" s="133" t="s">
        <v>337</v>
      </c>
      <c r="B27" s="132">
        <f>'Биланс на состојба'!B30</f>
        <v>2245</v>
      </c>
      <c r="C27" s="132">
        <f>'Биланс на состојба'!C30</f>
        <v>6707</v>
      </c>
      <c r="D27" s="134">
        <f>'Биланс на состојба'!D30</f>
        <v>298.75278396436522</v>
      </c>
    </row>
    <row r="28" spans="1:4" ht="14.25" thickTop="1" thickBot="1" x14ac:dyDescent="0.25">
      <c r="A28" s="133" t="s">
        <v>198</v>
      </c>
      <c r="B28" s="132">
        <f>'Биланс на состојба'!B31</f>
        <v>9362</v>
      </c>
      <c r="C28" s="132">
        <f>'Биланс на состојба'!C31</f>
        <v>14764</v>
      </c>
      <c r="D28" s="134">
        <f>'Биланс на состојба'!D31</f>
        <v>157.7013458662679</v>
      </c>
    </row>
    <row r="29" spans="1:4" ht="14.25" thickTop="1" thickBot="1" x14ac:dyDescent="0.25">
      <c r="A29" s="131" t="s">
        <v>199</v>
      </c>
      <c r="B29" s="132">
        <f>'Биланс на состојба'!B32</f>
        <v>66014</v>
      </c>
      <c r="C29" s="132">
        <f>'Биланс на состојба'!C32</f>
        <v>30789</v>
      </c>
      <c r="D29" s="134">
        <f>'Биланс на состојба'!D32</f>
        <v>46.640106644045204</v>
      </c>
    </row>
    <row r="30" spans="1:4" ht="14.25" thickTop="1" thickBot="1" x14ac:dyDescent="0.25">
      <c r="A30" s="131" t="s">
        <v>338</v>
      </c>
      <c r="B30" s="132">
        <f>'Биланс на состојба'!B33</f>
        <v>667</v>
      </c>
      <c r="C30" s="132">
        <f>'Биланс на состојба'!C33</f>
        <v>353</v>
      </c>
      <c r="D30" s="134">
        <f>'Биланс на состојба'!D33</f>
        <v>52.92353823088456</v>
      </c>
    </row>
    <row r="31" spans="1:4" ht="14.25" thickTop="1" thickBot="1" x14ac:dyDescent="0.25">
      <c r="A31" s="137" t="s">
        <v>200</v>
      </c>
      <c r="B31" s="130">
        <f>'Биланс на состојба'!B34</f>
        <v>623474</v>
      </c>
      <c r="C31" s="130">
        <f>'Биланс на состојба'!C34</f>
        <v>511383</v>
      </c>
      <c r="D31" s="130">
        <f>'Биланс на состојба'!D34</f>
        <v>82.021543801345359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538157</v>
      </c>
      <c r="C34" s="130">
        <f>'Биланс на состојба'!C37</f>
        <v>455633</v>
      </c>
      <c r="D34" s="130">
        <f>'Биланс на состојба'!D37</f>
        <v>84.665441497555548</v>
      </c>
    </row>
    <row r="35" spans="1:4" ht="14.25" thickTop="1" thickBot="1" x14ac:dyDescent="0.25">
      <c r="A35" s="141" t="s">
        <v>339</v>
      </c>
      <c r="B35" s="132">
        <f>'Биланс на состојба'!B38</f>
        <v>311343</v>
      </c>
      <c r="C35" s="132">
        <f>'Биланс на состојба'!C38</f>
        <v>311343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31457</v>
      </c>
      <c r="C36" s="132">
        <f>'Биланс на состојба'!C39</f>
        <v>33427</v>
      </c>
      <c r="D36" s="134">
        <f>'Биланс на состојба'!D39</f>
        <v>106.26251708681693</v>
      </c>
    </row>
    <row r="37" spans="1:4" ht="14.25" thickTop="1" thickBot="1" x14ac:dyDescent="0.25">
      <c r="A37" s="131" t="s">
        <v>205</v>
      </c>
      <c r="B37" s="132">
        <f>'Биланс на состојба'!B40</f>
        <v>195357</v>
      </c>
      <c r="C37" s="132">
        <f>'Биланс на состојба'!C40</f>
        <v>110863</v>
      </c>
      <c r="D37" s="134">
        <f>'Биланс на состојба'!D40</f>
        <v>56.74892632462619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85317</v>
      </c>
      <c r="C39" s="130">
        <f>'Биланс на состојба'!C42</f>
        <v>55750</v>
      </c>
      <c r="D39" s="130">
        <f>'Биланс на состојба'!D42</f>
        <v>65.344538603091991</v>
      </c>
    </row>
    <row r="40" spans="1:4" ht="14.25" thickTop="1" thickBot="1" x14ac:dyDescent="0.25">
      <c r="A40" s="137" t="s">
        <v>208</v>
      </c>
      <c r="B40" s="130">
        <f>'Биланс на состојба'!B43</f>
        <v>43948</v>
      </c>
      <c r="C40" s="130">
        <f>'Биланс на состојба'!C43</f>
        <v>39285</v>
      </c>
      <c r="D40" s="130">
        <f>'Биланс на состојба'!D43</f>
        <v>89.389733321197781</v>
      </c>
    </row>
    <row r="41" spans="1:4" ht="14.25" thickTop="1" thickBot="1" x14ac:dyDescent="0.25">
      <c r="A41" s="131" t="s">
        <v>209</v>
      </c>
      <c r="B41" s="132">
        <f>'Биланс на состојба'!B44</f>
        <v>13478</v>
      </c>
      <c r="C41" s="132">
        <f>'Биланс на состојба'!C44</f>
        <v>13307</v>
      </c>
      <c r="D41" s="134">
        <f>'Биланс на состојба'!D44</f>
        <v>98.731265766434177</v>
      </c>
    </row>
    <row r="42" spans="1:4" ht="14.25" thickTop="1" thickBot="1" x14ac:dyDescent="0.25">
      <c r="A42" s="133" t="s">
        <v>210</v>
      </c>
      <c r="B42" s="132">
        <f>'Биланс на состојба'!B45</f>
        <v>15821</v>
      </c>
      <c r="C42" s="132">
        <f>'Биланс на состојба'!C45</f>
        <v>17563</v>
      </c>
      <c r="D42" s="134">
        <f>'Биланс на состојба'!D45</f>
        <v>111.01068200493016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5161</v>
      </c>
      <c r="C44" s="132">
        <f>'Биланс на состојба'!C47</f>
        <v>286</v>
      </c>
      <c r="D44" s="134">
        <f>'Биланс на состојба'!D47</f>
        <v>5.5415617128463479</v>
      </c>
    </row>
    <row r="45" spans="1:4" ht="14.25" thickTop="1" thickBot="1" x14ac:dyDescent="0.25">
      <c r="A45" s="133" t="s">
        <v>340</v>
      </c>
      <c r="B45" s="134">
        <f>'Биланс на состојба'!B48</f>
        <v>9488</v>
      </c>
      <c r="C45" s="134">
        <f>'Биланс на состојба'!C48</f>
        <v>8129</v>
      </c>
      <c r="D45" s="134">
        <f>'Биланс на состојба'!D48</f>
        <v>85.676644182124789</v>
      </c>
    </row>
    <row r="46" spans="1:4" ht="14.25" thickTop="1" thickBot="1" x14ac:dyDescent="0.25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41369</v>
      </c>
      <c r="C48" s="130">
        <f>'Биланс на состојба'!C51</f>
        <v>16465</v>
      </c>
      <c r="D48" s="130">
        <f>'Биланс на состојба'!D51</f>
        <v>39.800333583117791</v>
      </c>
    </row>
    <row r="49" spans="1:4" ht="14.25" thickTop="1" thickBot="1" x14ac:dyDescent="0.25">
      <c r="A49" s="133" t="s">
        <v>214</v>
      </c>
      <c r="B49" s="132">
        <f>'Биланс на состојба'!B52</f>
        <v>41369</v>
      </c>
      <c r="C49" s="132">
        <f>'Биланс на состојба'!C52</f>
        <v>16465</v>
      </c>
      <c r="D49" s="134">
        <f>'Биланс на состојба'!D52</f>
        <v>39.800333583117791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623474</v>
      </c>
      <c r="C53" s="130">
        <f>'Биланс на состојба'!C56</f>
        <v>511383</v>
      </c>
      <c r="D53" s="130">
        <f>'Биланс на состојба'!D56</f>
        <v>82.021543801345359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ColWidth="9.140625"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Хотели- Метропол АД Охрид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2020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211655</v>
      </c>
      <c r="D11" s="130">
        <f>'Биланс на успех - природа'!D11</f>
        <v>79353</v>
      </c>
      <c r="E11" s="130">
        <f>'Биланс на успех - природа'!E11</f>
        <v>37.491672769365245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209870</v>
      </c>
      <c r="D12" s="134">
        <f>'Биланс на успех - природа'!D12</f>
        <v>59357</v>
      </c>
      <c r="E12" s="134">
        <f>'Биланс на успех - природа'!E12</f>
        <v>28.282746462095581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209870</v>
      </c>
      <c r="D13" s="163">
        <f>'Биланс на успех - природа'!D13</f>
        <v>59357</v>
      </c>
      <c r="E13" s="134">
        <f>'Биланс на успех - природа'!E13</f>
        <v>28.282746462095581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1785</v>
      </c>
      <c r="D19" s="163">
        <f>'Биланс на успех - природа'!D19</f>
        <v>19996</v>
      </c>
      <c r="E19" s="134">
        <f>'Биланс на успех - природа'!E19</f>
        <v>1120.2240896358542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170719</v>
      </c>
      <c r="D20" s="130">
        <f>'Биланс на успех - природа'!D20</f>
        <v>107524</v>
      </c>
      <c r="E20" s="130">
        <f>'Биланс на успех - природа'!E20</f>
        <v>62.983030594134213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72</v>
      </c>
      <c r="D21" s="163">
        <f>'Биланс на успех - природа'!D21</f>
        <v>87</v>
      </c>
      <c r="E21" s="134">
        <f>'Биланс на успех - природа'!E21</f>
        <v>120.83333333333333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60109</v>
      </c>
      <c r="D22" s="163">
        <f>'Биланс на успех - природа'!D22</f>
        <v>21999</v>
      </c>
      <c r="E22" s="134">
        <f>'Биланс на успех - природа'!E22</f>
        <v>36.598512701924832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12375</v>
      </c>
      <c r="D24" s="163">
        <f>'Биланс на успех - природа'!D24</f>
        <v>8157</v>
      </c>
      <c r="E24" s="134">
        <f>'Биланс на успех - природа'!E24</f>
        <v>65.915151515151521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12346</v>
      </c>
      <c r="D25" s="163">
        <f>'Биланс на успех - природа'!D25</f>
        <v>6006</v>
      </c>
      <c r="E25" s="134">
        <f>'Биланс на успех - природа'!E25</f>
        <v>48.647335169285597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65584</v>
      </c>
      <c r="D26" s="163">
        <f>'Биланс на успех - природа'!D26</f>
        <v>49570</v>
      </c>
      <c r="E26" s="134">
        <f>'Биланс на успех - природа'!E26</f>
        <v>75.582459136374723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17015</v>
      </c>
      <c r="D27" s="163">
        <f>'Биланс на успех - природа'!D27</f>
        <v>21063</v>
      </c>
      <c r="E27" s="134">
        <f>'Биланс на успех - природа'!E27</f>
        <v>123.79077284748752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748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2470</v>
      </c>
      <c r="D31" s="163">
        <f>'Биланс на успех - природа'!D31</f>
        <v>642</v>
      </c>
      <c r="E31" s="134">
        <f>'Биланс на успех - природа'!E31</f>
        <v>25.991902834008094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40936</v>
      </c>
      <c r="D32" s="167">
        <f>'Биланс на успех - природа'!D32</f>
        <v>-28171</v>
      </c>
      <c r="E32" s="167">
        <f>'Биланс на успех - природа'!E32</f>
        <v>-68.8171780340043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3134</v>
      </c>
      <c r="D33" s="167">
        <f>'Биланс на успех - природа'!D33</f>
        <v>1012</v>
      </c>
      <c r="E33" s="130">
        <f>'Биланс на успех - природа'!E33</f>
        <v>32.29100191448628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3134</v>
      </c>
      <c r="D34" s="163">
        <f>'Биланс на успех - природа'!D34</f>
        <v>1012</v>
      </c>
      <c r="E34" s="134">
        <f>'Биланс на успех - природа'!E34</f>
        <v>32.29100191448628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2386</v>
      </c>
      <c r="D37" s="130">
        <f>'Биланс на успех - природа'!D37</f>
        <v>1353</v>
      </c>
      <c r="E37" s="130">
        <f>'Биланс на успех - природа'!E37</f>
        <v>56.705783738474437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2384</v>
      </c>
      <c r="D38" s="163">
        <f>'Биланс на успех - природа'!D38</f>
        <v>1351</v>
      </c>
      <c r="E38" s="134">
        <f>'Биланс на успех - природа'!E38</f>
        <v>56.669463087248317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2</v>
      </c>
      <c r="D39" s="163">
        <f>'Биланс на успех - природа'!D39</f>
        <v>2</v>
      </c>
      <c r="E39" s="134">
        <f>'Биланс на успех - природа'!E39</f>
        <v>100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41684</v>
      </c>
      <c r="D41" s="130">
        <f>'Биланс на успех - природа'!D41</f>
        <v>-28512</v>
      </c>
      <c r="E41" s="130">
        <f>'Биланс на успех - природа'!E41</f>
        <v>-68.400345456290182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41684</v>
      </c>
      <c r="D43" s="130">
        <f>'Биланс на успех - природа'!D43</f>
        <v>-28512</v>
      </c>
      <c r="E43" s="130">
        <f>'Биланс на успех - природа'!E43</f>
        <v>-68.400345456290182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3924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37760</v>
      </c>
      <c r="D45" s="130">
        <f>'Биланс на успех - природа'!D45</f>
        <v>-28512</v>
      </c>
      <c r="E45" s="130">
        <f>'Биланс на успех - природа'!E45</f>
        <v>-75.508474576271183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37760</v>
      </c>
      <c r="D47" s="130">
        <f>'Биланс на успех - природа'!D47</f>
        <v>-28512</v>
      </c>
      <c r="E47" s="130">
        <f>'Биланс на успех - природа'!E47</f>
        <v>-75.508474576271183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37760</v>
      </c>
      <c r="D49" s="130">
        <f>'Биланс на успех - природа'!D49</f>
        <v>-28512</v>
      </c>
      <c r="E49" s="130">
        <f>'Биланс на успех - природа'!E49</f>
        <v>-75.508474576271183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ColWidth="9.140625"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Хотели- Метропол АД Охрид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2020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55634</v>
      </c>
      <c r="C8" s="178">
        <f>'Паричен тек'!C9</f>
        <v>-6105</v>
      </c>
      <c r="D8" s="178">
        <f>'Паричен тек'!D9</f>
        <v>-10.97350541036057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37760</v>
      </c>
      <c r="C9" s="180">
        <f>'Паричен тек'!C10</f>
        <v>-28512</v>
      </c>
      <c r="D9" s="180">
        <f>'Паричен тек'!D10</f>
        <v>-75.508474576271183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17015</v>
      </c>
      <c r="C11" s="182">
        <f>'Паричен тек'!C12</f>
        <v>21063</v>
      </c>
      <c r="D11" s="182">
        <f>'Паричен тек'!D12</f>
        <v>123.79077284748752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-265</v>
      </c>
      <c r="C13" s="182">
        <f>'Паричен тек'!C14</f>
        <v>1903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37</v>
      </c>
      <c r="C14" s="182">
        <f>'Паричен тек'!C15</f>
        <v>10192</v>
      </c>
      <c r="D14" s="182">
        <f>'Паричен тек'!D15</f>
        <v>27545.945945945947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-855</v>
      </c>
      <c r="C16" s="182">
        <f>'Паричен тек'!C17</f>
        <v>-4462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-13</v>
      </c>
      <c r="C17" s="182">
        <f>'Паричен тек'!C18</f>
        <v>314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365</v>
      </c>
      <c r="C18" s="182">
        <f>'Паричен тек'!C19</f>
        <v>-171</v>
      </c>
      <c r="D18" s="182">
        <f>'Паричен тек'!D19</f>
        <v>-46.849315068493155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2131</v>
      </c>
      <c r="C20" s="182">
        <f>'Паричен тек'!C21</f>
        <v>-6234</v>
      </c>
      <c r="D20" s="182">
        <f>'Паричен тек'!D21</f>
        <v>-292.53871421867672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-541</v>
      </c>
      <c r="C25" s="182">
        <f>'Паричен тек'!C26</f>
        <v>-198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-34040</v>
      </c>
      <c r="C28" s="178">
        <f>'Паричен тек'!C29</f>
        <v>-5958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-21837</v>
      </c>
      <c r="C29" s="182">
        <f>'Паричен тек'!C30</f>
        <v>-37087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450</v>
      </c>
      <c r="C30" s="182">
        <f>'Паричен тек'!C31</f>
        <v>269</v>
      </c>
      <c r="D30" s="182">
        <f>'Паричен тек'!D31</f>
        <v>59.777777777777771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-8362</v>
      </c>
      <c r="C34" s="182">
        <f>'Паричен тек'!C35</f>
        <v>-5402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-4291</v>
      </c>
      <c r="C37" s="182">
        <f>'Паричен тек'!C38</f>
        <v>36262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-15425</v>
      </c>
      <c r="C38" s="178">
        <f>'Паричен тек'!C39</f>
        <v>-23162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1800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-15281</v>
      </c>
      <c r="C41" s="182">
        <f>'Паричен тек'!C42</f>
        <v>-23162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-1788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-156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6169</v>
      </c>
      <c r="C46" s="178">
        <f>'Паричен тек'!C47</f>
        <v>-35225</v>
      </c>
      <c r="D46" s="178">
        <f>'Паричен тек'!D47</f>
        <v>-571.00016210082674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59845</v>
      </c>
      <c r="C47" s="182">
        <f>'Паричен тек'!C48</f>
        <v>66014</v>
      </c>
      <c r="D47" s="182">
        <f>'Паричен тек'!D48</f>
        <v>110.3082964324505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66014</v>
      </c>
      <c r="C48" s="178">
        <f>'Паричен тек'!C49</f>
        <v>30789</v>
      </c>
      <c r="D48" s="178">
        <f>'Паричен тек'!D49</f>
        <v>46.640106644045204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ColWidth="9.140625"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Хотели- Метропол АД Охрид</v>
      </c>
      <c r="C2" s="268"/>
      <c r="D2" s="268"/>
      <c r="E2" s="186" t="s">
        <v>327</v>
      </c>
      <c r="F2" s="266">
        <f>'ФИ-Почетна'!$C$23</f>
        <v>2020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311499</v>
      </c>
      <c r="C7" s="192">
        <f>Капитал!C9</f>
        <v>-1455</v>
      </c>
      <c r="D7" s="192">
        <f>Капитал!D9</f>
        <v>29932</v>
      </c>
      <c r="E7" s="192">
        <f>Капитал!E9</f>
        <v>160565</v>
      </c>
      <c r="F7" s="192">
        <f>Капитал!F9</f>
        <v>0</v>
      </c>
      <c r="G7" s="193">
        <f>Капитал!G9</f>
        <v>500541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-156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-156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37760</v>
      </c>
      <c r="F12" s="195">
        <f>Капитал!F14</f>
        <v>0</v>
      </c>
      <c r="G12" s="193">
        <f>Капитал!G14</f>
        <v>37760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1525</v>
      </c>
      <c r="E13" s="195">
        <f>Капитал!E15</f>
        <v>-1525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-1788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-1788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1800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1800</v>
      </c>
    </row>
    <row r="26" spans="1:7" ht="14.25" thickTop="1" thickBot="1" x14ac:dyDescent="0.25">
      <c r="A26" s="198" t="s">
        <v>156</v>
      </c>
      <c r="B26" s="199">
        <f>Капитал!B28</f>
        <v>311343</v>
      </c>
      <c r="C26" s="199">
        <f>Капитал!C28</f>
        <v>-1443</v>
      </c>
      <c r="D26" s="199">
        <f>Капитал!D28</f>
        <v>31457</v>
      </c>
      <c r="E26" s="199">
        <f>Капитал!E28</f>
        <v>196800</v>
      </c>
      <c r="F26" s="199">
        <f>Капитал!F28</f>
        <v>0</v>
      </c>
      <c r="G26" s="199">
        <f>Капитал!G28</f>
        <v>538157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-28512</v>
      </c>
      <c r="F31" s="195">
        <f>Капитал!F33</f>
        <v>0</v>
      </c>
      <c r="G31" s="201">
        <f>Капитал!G33</f>
        <v>-28512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1888</v>
      </c>
      <c r="E32" s="195">
        <f>Капитал!E34</f>
        <v>-1888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82</v>
      </c>
      <c r="E44" s="197">
        <f>Капитал!E46</f>
        <v>-54093</v>
      </c>
      <c r="F44" s="197">
        <f>Капитал!F46</f>
        <v>0</v>
      </c>
      <c r="G44" s="201">
        <f>Капитал!G46</f>
        <v>-54011</v>
      </c>
    </row>
    <row r="45" spans="1:7" ht="14.25" thickTop="1" thickBot="1" x14ac:dyDescent="0.25">
      <c r="A45" s="198" t="s">
        <v>158</v>
      </c>
      <c r="B45" s="199">
        <f>Капитал!B47</f>
        <v>311343</v>
      </c>
      <c r="C45" s="199">
        <f>Капитал!C47</f>
        <v>-1443</v>
      </c>
      <c r="D45" s="199">
        <f>Капитал!D47</f>
        <v>33427</v>
      </c>
      <c r="E45" s="199">
        <f>Капитал!E47</f>
        <v>112307</v>
      </c>
      <c r="F45" s="199">
        <f>Капитал!F47</f>
        <v>0</v>
      </c>
      <c r="G45" s="199">
        <f>Капитал!G47</f>
        <v>455634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fersped</cp:lastModifiedBy>
  <cp:lastPrinted>2021-02-25T10:55:30Z</cp:lastPrinted>
  <dcterms:created xsi:type="dcterms:W3CDTF">2008-02-12T15:15:13Z</dcterms:created>
  <dcterms:modified xsi:type="dcterms:W3CDTF">2021-03-01T07:23:28Z</dcterms:modified>
</cp:coreProperties>
</file>