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oleta.cvetkovska\Desktop\Македонска берза (објава)\2023\31.12.2023\"/>
    </mc:Choice>
  </mc:AlternateContent>
  <workbookProtection workbookPassword="B44F" lockStructure="1"/>
  <bookViews>
    <workbookView xWindow="0" yWindow="0" windowWidth="21600" windowHeight="9435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25" l="1"/>
  <c r="C44" i="25"/>
  <c r="C40" i="25"/>
  <c r="C30" i="25"/>
  <c r="C15" i="25"/>
  <c r="D13" i="22"/>
  <c r="B39" i="7" l="1"/>
  <c r="B29" i="7"/>
  <c r="B9" i="7"/>
  <c r="B47" i="7" s="1"/>
  <c r="B49" i="7" s="1"/>
  <c r="C37" i="22"/>
  <c r="C33" i="22"/>
  <c r="C20" i="22"/>
  <c r="C13" i="22"/>
  <c r="C12" i="22"/>
  <c r="C11" i="22"/>
  <c r="C32" i="22" s="1"/>
  <c r="C41" i="22" s="1"/>
  <c r="C43" i="22" s="1"/>
  <c r="C45" i="22" s="1"/>
  <c r="B51" i="25"/>
  <c r="B48" i="25"/>
  <c r="B44" i="25"/>
  <c r="B43" i="25" s="1"/>
  <c r="B42" i="25" s="1"/>
  <c r="B40" i="25"/>
  <c r="B39" i="25"/>
  <c r="B37" i="25" s="1"/>
  <c r="B30" i="25"/>
  <c r="B27" i="25"/>
  <c r="B19" i="25"/>
  <c r="B15" i="25"/>
  <c r="B13" i="25"/>
  <c r="B11" i="25"/>
  <c r="B34" i="25" s="1"/>
  <c r="C49" i="22" l="1"/>
  <c r="C47" i="22"/>
  <c r="B56" i="25"/>
  <c r="C9" i="7"/>
  <c r="B1" i="13" l="1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/>
  <c r="D10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/>
  <c r="D24" i="7"/>
  <c r="D23" i="6" s="1"/>
  <c r="D25" i="7"/>
  <c r="D24" i="6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 s="1"/>
  <c r="G29" i="12"/>
  <c r="G27" i="13" s="1"/>
  <c r="G30" i="12"/>
  <c r="G28" i="13"/>
  <c r="G31" i="12"/>
  <c r="G29" i="13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D29" i="7"/>
  <c r="D28" i="6" s="1"/>
  <c r="B39" i="24"/>
  <c r="B48" i="24"/>
  <c r="B40" i="24"/>
  <c r="B16" i="24"/>
  <c r="D51" i="25" l="1"/>
  <c r="D48" i="24" s="1"/>
  <c r="C56" i="25"/>
  <c r="C53" i="24" s="1"/>
  <c r="D27" i="25"/>
  <c r="D24" i="24" s="1"/>
  <c r="D19" i="25"/>
  <c r="D16" i="24" s="1"/>
  <c r="C47" i="7"/>
  <c r="C46" i="6" s="1"/>
  <c r="E33" i="22"/>
  <c r="E33" i="20" s="1"/>
  <c r="D37" i="25"/>
  <c r="D34" i="24" s="1"/>
  <c r="C11" i="25"/>
  <c r="C8" i="24" s="1"/>
  <c r="C47" i="12"/>
  <c r="C45" i="13" s="1"/>
  <c r="G28" i="12"/>
  <c r="G47" i="12" s="1"/>
  <c r="G45" i="13" s="1"/>
  <c r="B53" i="24"/>
  <c r="E37" i="22"/>
  <c r="E37" i="20" s="1"/>
  <c r="B34" i="24"/>
  <c r="B8" i="6"/>
  <c r="D43" i="25"/>
  <c r="D40" i="24" s="1"/>
  <c r="E11" i="22"/>
  <c r="E11" i="20" s="1"/>
  <c r="D39" i="7"/>
  <c r="D38" i="6" s="1"/>
  <c r="C42" i="25"/>
  <c r="E20" i="22"/>
  <c r="E20" i="20" s="1"/>
  <c r="C28" i="6"/>
  <c r="G9" i="13"/>
  <c r="E12" i="22"/>
  <c r="E12" i="20" s="1"/>
  <c r="D11" i="20"/>
  <c r="D32" i="22"/>
  <c r="B46" i="6"/>
  <c r="D47" i="7"/>
  <c r="D46" i="6" s="1"/>
  <c r="C40" i="24"/>
  <c r="D12" i="20"/>
  <c r="B38" i="6"/>
  <c r="B10" i="24"/>
  <c r="C10" i="24"/>
  <c r="D26" i="13"/>
  <c r="E47" i="12"/>
  <c r="E45" i="13" s="1"/>
  <c r="C49" i="7" l="1"/>
  <c r="C48" i="6" s="1"/>
  <c r="C34" i="25"/>
  <c r="C31" i="24" s="1"/>
  <c r="C39" i="24"/>
  <c r="D42" i="25"/>
  <c r="D39" i="24" s="1"/>
  <c r="D56" i="25"/>
  <c r="D53" i="24" s="1"/>
  <c r="G26" i="13"/>
  <c r="C11" i="20"/>
  <c r="C32" i="20"/>
  <c r="E32" i="22"/>
  <c r="E32" i="20" s="1"/>
  <c r="D32" i="20"/>
  <c r="D41" i="22"/>
  <c r="D11" i="25"/>
  <c r="D8" i="24" s="1"/>
  <c r="B8" i="24"/>
  <c r="B48" i="6"/>
  <c r="D49" i="7" l="1"/>
  <c r="D48" i="6" s="1"/>
  <c r="E41" i="22"/>
  <c r="E41" i="20" s="1"/>
  <c r="C41" i="20"/>
  <c r="D34" i="25"/>
  <c r="D31" i="24" s="1"/>
  <c r="B31" i="24"/>
  <c r="D41" i="20"/>
  <c r="D43" i="22"/>
  <c r="C43" i="20" l="1"/>
  <c r="E43" i="22"/>
  <c r="E43" i="20" s="1"/>
  <c r="D43" i="20"/>
  <c r="D45" i="22"/>
  <c r="E45" i="22" l="1"/>
  <c r="E45" i="20" s="1"/>
  <c r="C45" i="20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<sst xmlns="http://schemas.openxmlformats.org/spreadsheetml/2006/main" count="475" uniqueCount="380">
  <si>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</si>
  <si>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</si>
  <si>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</si>
  <si>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</si>
  <si>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</si>
  <si>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</si>
  <si>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</si>
  <si>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</si>
  <si>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</si>
  <si>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</si>
  <si>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</si>
  <si>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</si>
  <si>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</si>
  <si>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</si>
  <si>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</si>
  <si>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</si>
  <si>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</si>
  <si>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</si>
  <si>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</si>
  <si>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</si>
  <si>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</si>
  <si>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</si>
  <si>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</si>
  <si>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</si>
  <si>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</si>
  <si>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</si>
  <si>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</si>
  <si>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</si>
  <si>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</si>
  <si>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</si>
  <si>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</si>
  <si>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</si>
  <si>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</si>
  <si>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</si>
  <si>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</si>
  <si>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</si>
  <si>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</si>
  <si>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</si>
  <si>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</si>
  <si>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</si>
  <si>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</si>
  <si>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</si>
  <si>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</si>
  <si>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</si>
  <si>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</si>
  <si>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</si>
  <si>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</si>
  <si>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</si>
  <si>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</si>
  <si>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</si>
  <si>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</si>
  <si>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</si>
  <si>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</si>
  <si>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</si>
  <si>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</si>
  <si>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</si>
  <si>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</si>
  <si>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</si>
  <si>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</si>
  <si>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</si>
  <si>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</si>
  <si>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</si>
  <si>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</si>
  <si>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</si>
  <si>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</si>
  <si>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</si>
  <si>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</si>
  <si>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</si>
  <si>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</si>
  <si>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</si>
  <si>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</si>
  <si>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</si>
  <si>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</si>
  <si>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</si>
  <si>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</si>
  <si>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</si>
  <si>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</si>
  <si>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</si>
  <si>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</si>
  <si>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</si>
  <si>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</si>
  <si>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</si>
  <si>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</si>
  <si>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</si>
  <si>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</si>
  <si>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</si>
  <si>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</si>
  <si>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</si>
  <si>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</si>
  <si>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</si>
  <si>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</si>
  <si>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</si>
  <si>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</si>
  <si>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</si>
  <si>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</si>
  <si>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</si>
  <si>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</si>
  <si>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</si>
  <si>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</si>
  <si>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</si>
  <si>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</si>
  <si>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</si>
  <si>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</si>
  <si>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</si>
  <si>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</si>
  <si>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</si>
  <si>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</si>
  <si>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</si>
  <si>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</si>
  <si>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</si>
  <si>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</si>
  <si>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</si>
  <si>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</si>
  <si>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</si>
  <si>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</si>
  <si>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</si>
  <si>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</si>
  <si>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</si>
  <si>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</si>
  <si>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</si>
  <si>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</si>
  <si>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</si>
  <si>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</si>
  <si>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</si>
  <si>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</si>
  <si>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</si>
  <si>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</si>
  <si>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</si>
  <si>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</si>
  <si>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</si>
  <si>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</si>
  <si>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</si>
  <si>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</si>
  <si>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</si>
  <si>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</si>
  <si>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</si>
  <si>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</si>
  <si>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</si>
  <si>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</si>
  <si>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</si>
  <si>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</si>
  <si>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</si>
  <si>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</si>
  <si>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</si>
  <si>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</si>
  <si>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</si>
  <si>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</si>
  <si>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</si>
  <si>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</si>
  <si>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</si>
  <si>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</si>
  <si>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</si>
  <si>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</si>
  <si>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</si>
  <si>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</si>
  <si>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</si>
  <si>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</si>
  <si>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</si>
  <si>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</si>
  <si>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</si>
  <si>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</si>
  <si>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</si>
  <si>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</si>
  <si>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</si>
  <si>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</si>
  <si>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</si>
  <si>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</si>
  <si>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</si>
  <si>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</si>
  <si>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</si>
  <si>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</si>
  <si>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</si>
  <si>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</si>
  <si>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</si>
  <si>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</si>
  <si>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</si>
  <si>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</si>
  <si>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</si>
  <si>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</si>
  <si>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</si>
  <si>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</si>
  <si>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</si>
  <si>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</si>
  <si>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</si>
  <si>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</si>
  <si>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</si>
  <si>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</si>
  <si>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</si>
  <si>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</si>
  <si>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</si>
  <si>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</si>
  <si>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</si>
  <si>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</si>
  <si>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</si>
  <si>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</si>
  <si>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</si>
  <si>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</si>
  <si>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</si>
  <si>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</si>
  <si>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</si>
  <si>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</si>
  <si>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</si>
  <si>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</si>
  <si>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</si>
  <si>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</si>
  <si>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</si>
  <si>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</si>
  <si>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</si>
  <si>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</si>
  <si>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</si>
  <si>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</si>
  <si>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</si>
  <si>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</si>
  <si>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</si>
  <si>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</si>
  <si>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</si>
  <si>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</si>
  <si>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</si>
  <si>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</si>
  <si>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</si>
  <si>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</si>
  <si>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</si>
  <si>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</si>
  <si>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</si>
  <si>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</si>
  <si>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</si>
  <si>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</si>
  <si>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</si>
  <si>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</si>
  <si>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</si>
  <si>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</si>
  <si>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</si>
  <si>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</si>
  <si>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</si>
  <si>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</si>
  <si>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</si>
  <si>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</si>
  <si>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</si>
  <si>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</si>
  <si>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</si>
  <si>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</si>
  <si>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</si>
  <si>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</si>
  <si>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</si>
  <si>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</si>
  <si>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</si>
  <si>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</si>
  <si>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</si>
  <si>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</si>
  <si>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</si>
  <si>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</si>
  <si>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</si>
  <si>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</si>
  <si>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</si>
  <si>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</si>
  <si>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</si>
  <si>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</si>
  <si>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</si>
  <si>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</si>
  <si>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</si>
  <si>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</si>
  <si>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</si>
  <si>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</si>
  <si>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</si>
  <si>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</si>
  <si>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</si>
  <si>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</si>
  <si>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</si>
  <si>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</si>
  <si>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</si>
  <si>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</si>
  <si>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</si>
  <si>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</si>
  <si>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</si>
  <si>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</si>
  <si>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</si>
  <si>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</si>
  <si>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</si>
  <si>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</si>
  <si>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</si>
  <si>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</si>
  <si>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</si>
  <si>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</si>
  <si>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</si>
  <si>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</si>
  <si>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</si>
  <si>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</si>
  <si>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</si>
  <si>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</si>
  <si>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</si>
  <si>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</si>
  <si>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</si>
  <si>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</si>
  <si>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</si>
  <si>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</si>
  <si>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</si>
  <si>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</si>
  <si>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</si>
  <si>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</si>
  <si>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</si>
  <si>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</si>
  <si>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</si>
  <si>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</si>
  <si>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</si>
  <si>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</si>
  <si>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</si>
  <si>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</si>
  <si>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</si>
  <si>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</si>
  <si>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</si>
  <si>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</si>
  <si>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</si>
  <si>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</si>
  <si>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</si>
  <si>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</si>
  <si>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</si>
  <si>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</si>
  <si>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</si>
  <si>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</si>
  <si>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</si>
  <si>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</si>
  <si>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</si>
  <si>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</si>
  <si>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</si>
  <si>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</si>
  <si>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</si>
  <si>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</si>
  <si>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</si>
  <si>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</si>
  <si>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</si>
  <si>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</si>
  <si>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</si>
  <si>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</si>
  <si>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</si>
  <si>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</si>
  <si>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</si>
  <si>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</si>
  <si>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</si>
  <si>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</si>
  <si>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</si>
  <si>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</si>
  <si>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</si>
  <si>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</si>
  <si>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</si>
  <si>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</si>
  <si>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</si>
  <si>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</si>
  <si>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</si>
  <si>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</si>
  <si>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</si>
  <si>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</si>
  <si>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</si>
  <si>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</si>
  <si>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</si>
  <si>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</si>
  <si>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</si>
  <si>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</si>
  <si>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</si>
  <si>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</si>
  <si>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</si>
  <si>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</si>
  <si>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</si>
  <si>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</si>
  <si>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</si>
  <si>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</si>
  <si>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</si>
  <si>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</si>
  <si>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</si>
  <si>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</si>
  <si>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</si>
  <si>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</si>
  <si>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</si>
  <si>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</si>
  <si>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</si>
  <si>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</si>
  <si>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</si>
  <si>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</si>
  <si>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</si>
  <si>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</si>
  <si>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ФАКОМ, АД -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</si>
</sst>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4095596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2023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2" zoomScale="120" workbookViewId="0">
      <selection activeCell="C33" sqref="C33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ФАКОМ, АД - Скопје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2023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204699</v>
      </c>
      <c r="C11" s="75">
        <f>C12+C13+C18+C19+C25+C26</f>
        <v>208894</v>
      </c>
      <c r="D11" s="75">
        <f t="shared" ref="D11:D35" si="0">IF(B11&lt;=0,0,C11/B11*100)</f>
        <v>102.04935050977288</v>
      </c>
      <c r="F11" s="111"/>
    </row>
    <row r="12" spans="1:6" ht="14.25" thickTop="1" thickBot="1" x14ac:dyDescent="0.25">
      <c r="A12" s="87" t="s">
        <v>160</v>
      </c>
      <c r="B12" s="94">
        <v>2238</v>
      </c>
      <c r="C12" s="94">
        <v>1002</v>
      </c>
      <c r="D12" s="75">
        <f t="shared" si="0"/>
        <v>44.772117962466488</v>
      </c>
      <c r="F12" s="111"/>
    </row>
    <row r="13" spans="1:6" ht="14.25" thickTop="1" thickBot="1" x14ac:dyDescent="0.25">
      <c r="A13" s="87" t="s">
        <v>293</v>
      </c>
      <c r="B13" s="75">
        <f>SUM(B14:B17)</f>
        <v>198990</v>
      </c>
      <c r="C13" s="75">
        <f>SUM(C14:C17)</f>
        <v>203172</v>
      </c>
      <c r="D13" s="75">
        <f t="shared" si="0"/>
        <v>102.10161314638925</v>
      </c>
      <c r="F13" s="111"/>
    </row>
    <row r="14" spans="1:6" ht="14.25" thickTop="1" thickBot="1" x14ac:dyDescent="0.25">
      <c r="A14" s="88" t="s">
        <v>297</v>
      </c>
      <c r="B14" s="77">
        <v>100231</v>
      </c>
      <c r="C14" s="77">
        <v>108229</v>
      </c>
      <c r="D14" s="76">
        <f t="shared" si="0"/>
        <v>107.97956719976854</v>
      </c>
      <c r="F14" s="111"/>
    </row>
    <row r="15" spans="1:6" ht="27" thickTop="1" thickBot="1" x14ac:dyDescent="0.25">
      <c r="A15" s="88" t="s">
        <v>259</v>
      </c>
      <c r="B15" s="77">
        <f>75678+7711+3315</f>
        <v>86704</v>
      </c>
      <c r="C15" s="77">
        <f>70525+11790+2319</f>
        <v>84634</v>
      </c>
      <c r="D15" s="76">
        <f t="shared" si="0"/>
        <v>97.612566894260937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12055</v>
      </c>
      <c r="C17" s="77">
        <v>10309</v>
      </c>
      <c r="D17" s="76">
        <f t="shared" si="0"/>
        <v>85.516383243467445</v>
      </c>
      <c r="F17" s="111"/>
    </row>
    <row r="18" spans="1:6" ht="14.25" thickTop="1" thickBot="1" x14ac:dyDescent="0.25">
      <c r="A18" s="87" t="s">
        <v>294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3471</v>
      </c>
      <c r="C19" s="75">
        <f>SUM(C20:C24)</f>
        <v>4720</v>
      </c>
      <c r="D19" s="75">
        <f t="shared" si="0"/>
        <v>135.98386632094497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3471</v>
      </c>
      <c r="C23" s="77">
        <v>4720</v>
      </c>
      <c r="D23" s="76">
        <f t="shared" si="0"/>
        <v>135.98386632094497</v>
      </c>
      <c r="F23" s="111"/>
    </row>
    <row r="24" spans="1:6" ht="14.25" thickTop="1" thickBot="1" x14ac:dyDescent="0.25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1155053</v>
      </c>
      <c r="C27" s="75">
        <f>SUM(C28:C33)</f>
        <v>1186405</v>
      </c>
      <c r="D27" s="75">
        <f t="shared" si="0"/>
        <v>102.71433432058963</v>
      </c>
      <c r="F27" s="111"/>
    </row>
    <row r="28" spans="1:6" ht="14.25" thickTop="1" thickBot="1" x14ac:dyDescent="0.25">
      <c r="A28" s="89" t="s">
        <v>166</v>
      </c>
      <c r="B28" s="77">
        <v>339240</v>
      </c>
      <c r="C28" s="77">
        <v>300559</v>
      </c>
      <c r="D28" s="76">
        <f t="shared" si="0"/>
        <v>88.597747907086429</v>
      </c>
      <c r="F28" s="111"/>
    </row>
    <row r="29" spans="1:6" ht="15.75" customHeight="1" thickTop="1" thickBot="1" x14ac:dyDescent="0.25">
      <c r="A29" s="89" t="s">
        <v>167</v>
      </c>
      <c r="B29" s="77">
        <v>161165</v>
      </c>
      <c r="C29" s="77">
        <v>188369</v>
      </c>
      <c r="D29" s="76">
        <f t="shared" si="0"/>
        <v>116.87959544566129</v>
      </c>
      <c r="F29" s="111"/>
    </row>
    <row r="30" spans="1:6" ht="14.25" thickTop="1" thickBot="1" x14ac:dyDescent="0.25">
      <c r="A30" s="89" t="s">
        <v>168</v>
      </c>
      <c r="B30" s="77">
        <f>6664+21981+331</f>
        <v>28976</v>
      </c>
      <c r="C30" s="77">
        <f>7538+9717+589</f>
        <v>17844</v>
      </c>
      <c r="D30" s="76">
        <f t="shared" si="0"/>
        <v>61.581998895637767</v>
      </c>
      <c r="F30" s="111"/>
    </row>
    <row r="31" spans="1:6" ht="14.25" thickTop="1" thickBot="1" x14ac:dyDescent="0.25">
      <c r="A31" s="89" t="s">
        <v>169</v>
      </c>
      <c r="B31" s="77">
        <v>234221</v>
      </c>
      <c r="C31" s="77">
        <v>242486</v>
      </c>
      <c r="D31" s="76">
        <f t="shared" si="0"/>
        <v>103.52871860337032</v>
      </c>
      <c r="F31" s="111"/>
    </row>
    <row r="32" spans="1:6" ht="14.25" thickTop="1" thickBot="1" x14ac:dyDescent="0.25">
      <c r="A32" s="89" t="s">
        <v>170</v>
      </c>
      <c r="B32" s="77">
        <v>653</v>
      </c>
      <c r="C32" s="77">
        <v>678</v>
      </c>
      <c r="D32" s="76">
        <f t="shared" si="0"/>
        <v>103.82848392036755</v>
      </c>
      <c r="F32" s="111"/>
    </row>
    <row r="33" spans="1:6" ht="14.25" thickTop="1" thickBot="1" x14ac:dyDescent="0.25">
      <c r="A33" s="89" t="s">
        <v>301</v>
      </c>
      <c r="B33" s="77">
        <v>390798</v>
      </c>
      <c r="C33" s="77">
        <v>436469</v>
      </c>
      <c r="D33" s="76">
        <f t="shared" si="0"/>
        <v>111.68660023848638</v>
      </c>
      <c r="F33" s="111"/>
    </row>
    <row r="34" spans="1:6" ht="14.25" thickTop="1" thickBot="1" x14ac:dyDescent="0.25">
      <c r="A34" s="90" t="s">
        <v>173</v>
      </c>
      <c r="B34" s="75">
        <f>B11+B27</f>
        <v>1359752</v>
      </c>
      <c r="C34" s="75">
        <f>C11+C27</f>
        <v>1395299</v>
      </c>
      <c r="D34" s="75">
        <f t="shared" si="0"/>
        <v>102.61422671192982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514429</v>
      </c>
      <c r="C37" s="75">
        <f>(SUM(C38:C41))</f>
        <v>515012</v>
      </c>
      <c r="D37" s="75">
        <f t="shared" ref="D37:D57" si="1">IF(B37&lt;=0,0,C37/B37*100)</f>
        <v>100.1133295362431</v>
      </c>
      <c r="F37" s="111"/>
    </row>
    <row r="38" spans="1:6" ht="14.25" thickTop="1" thickBot="1" x14ac:dyDescent="0.25">
      <c r="A38" s="88" t="s">
        <v>298</v>
      </c>
      <c r="B38" s="77">
        <v>180826</v>
      </c>
      <c r="C38" s="77">
        <v>180826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f>42000+37947</f>
        <v>79947</v>
      </c>
      <c r="C39" s="77">
        <v>80709</v>
      </c>
      <c r="D39" s="76">
        <f t="shared" si="1"/>
        <v>100.95313144958536</v>
      </c>
      <c r="F39" s="111"/>
    </row>
    <row r="40" spans="1:6" ht="14.25" thickTop="1" thickBot="1" x14ac:dyDescent="0.25">
      <c r="A40" s="88" t="s">
        <v>128</v>
      </c>
      <c r="B40" s="77">
        <f>253407+249</f>
        <v>253656</v>
      </c>
      <c r="C40" s="77">
        <f>253407+70</f>
        <v>253477</v>
      </c>
      <c r="D40" s="76">
        <f t="shared" si="1"/>
        <v>99.929431986627563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845323</v>
      </c>
      <c r="C42" s="75">
        <f>C43+C51</f>
        <v>880287</v>
      </c>
      <c r="D42" s="75">
        <f t="shared" si="1"/>
        <v>104.13617043426004</v>
      </c>
      <c r="F42" s="111"/>
    </row>
    <row r="43" spans="1:6" ht="14.25" thickTop="1" thickBot="1" x14ac:dyDescent="0.25">
      <c r="A43" s="90" t="s">
        <v>178</v>
      </c>
      <c r="B43" s="75">
        <f>SUM(B44:B50)</f>
        <v>796291</v>
      </c>
      <c r="C43" s="75">
        <f>SUM(C44:C50)</f>
        <v>831255</v>
      </c>
      <c r="D43" s="75">
        <f t="shared" si="1"/>
        <v>104.39085711128217</v>
      </c>
      <c r="F43" s="111"/>
    </row>
    <row r="44" spans="1:6" ht="14.25" thickTop="1" thickBot="1" x14ac:dyDescent="0.25">
      <c r="A44" s="88" t="s">
        <v>179</v>
      </c>
      <c r="B44" s="77">
        <f>343824+170851</f>
        <v>514675</v>
      </c>
      <c r="C44" s="77">
        <f>343103+161905</f>
        <v>505008</v>
      </c>
      <c r="D44" s="76">
        <f t="shared" si="1"/>
        <v>98.121727303638224</v>
      </c>
      <c r="F44" s="107"/>
    </row>
    <row r="45" spans="1:6" ht="14.25" thickTop="1" thickBot="1" x14ac:dyDescent="0.25">
      <c r="A45" s="89" t="s">
        <v>266</v>
      </c>
      <c r="B45" s="77">
        <v>242956</v>
      </c>
      <c r="C45" s="77">
        <v>292456</v>
      </c>
      <c r="D45" s="76">
        <f t="shared" si="1"/>
        <v>120.37405950048567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8662</v>
      </c>
      <c r="C47" s="77">
        <v>10156</v>
      </c>
      <c r="D47" s="76">
        <f t="shared" si="1"/>
        <v>117.24774878780882</v>
      </c>
      <c r="F47" s="107"/>
    </row>
    <row r="48" spans="1:6" ht="14.25" thickTop="1" thickBot="1" x14ac:dyDescent="0.25">
      <c r="A48" s="89" t="s">
        <v>267</v>
      </c>
      <c r="B48" s="77">
        <f>17184+4715+7788</f>
        <v>29687</v>
      </c>
      <c r="C48" s="77">
        <f>20470+1344+1638</f>
        <v>23452</v>
      </c>
      <c r="D48" s="76">
        <f t="shared" si="1"/>
        <v>78.997541011217038</v>
      </c>
    </row>
    <row r="49" spans="1:4" ht="14.25" thickTop="1" thickBot="1" x14ac:dyDescent="0.25">
      <c r="A49" s="89" t="s">
        <v>302</v>
      </c>
      <c r="B49" s="77">
        <v>311</v>
      </c>
      <c r="C49" s="77">
        <v>183</v>
      </c>
      <c r="D49" s="76">
        <f t="shared" si="1"/>
        <v>58.842443729903536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49032</v>
      </c>
      <c r="C51" s="75">
        <f>SUM(C52:C55)</f>
        <v>49032</v>
      </c>
      <c r="D51" s="75">
        <f t="shared" si="1"/>
        <v>100</v>
      </c>
    </row>
    <row r="52" spans="1:4" ht="17.25" customHeight="1" thickTop="1" thickBot="1" x14ac:dyDescent="0.25">
      <c r="A52" s="89" t="s">
        <v>325</v>
      </c>
      <c r="B52" s="77">
        <v>49032</v>
      </c>
      <c r="C52" s="77">
        <v>49032</v>
      </c>
      <c r="D52" s="76">
        <f t="shared" si="1"/>
        <v>100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1359752</v>
      </c>
      <c r="C56" s="75">
        <f>C37+C43+C51</f>
        <v>1395299</v>
      </c>
      <c r="D56" s="75">
        <f t="shared" si="1"/>
        <v>102.61422671192982</v>
      </c>
    </row>
    <row r="57" spans="1:4" ht="14.25" thickTop="1" thickBot="1" x14ac:dyDescent="0.25">
      <c r="A57" s="41" t="s">
        <v>185</v>
      </c>
      <c r="B57" s="77">
        <v>25593</v>
      </c>
      <c r="C57" s="77">
        <v>25593</v>
      </c>
      <c r="D57" s="76">
        <f t="shared" si="1"/>
        <v>100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2" zoomScale="120" zoomScaleNormal="120" workbookViewId="0">
      <selection activeCell="D25" sqref="D2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ФАКОМ, АД - Скопје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1203398</v>
      </c>
      <c r="D11" s="75">
        <f>D12+D18+D19</f>
        <v>1094054</v>
      </c>
      <c r="E11" s="75">
        <f>IF(C11&lt;=0,0,D11/C11*100)</f>
        <v>90.913729289894121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1184691</v>
      </c>
      <c r="D12" s="76">
        <f>SUM(D13:D14)</f>
        <v>1079627</v>
      </c>
      <c r="E12" s="76">
        <f t="shared" ref="E12:E49" si="0">IF(C12&lt;=0,0,D12/C12*100)</f>
        <v>91.131527123950463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f>1184691-C14</f>
        <v>217973</v>
      </c>
      <c r="D13" s="77">
        <f>1079627-D14</f>
        <v>549913</v>
      </c>
      <c r="E13" s="76">
        <f t="shared" si="0"/>
        <v>252.28491602170911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966718</v>
      </c>
      <c r="D14" s="77">
        <v>529714</v>
      </c>
      <c r="E14" s="76">
        <f t="shared" si="0"/>
        <v>54.795090191762228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18707</v>
      </c>
      <c r="D19" s="77">
        <v>14427</v>
      </c>
      <c r="E19" s="76">
        <f t="shared" si="0"/>
        <v>77.120863847757519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1191199</v>
      </c>
      <c r="D20" s="75">
        <f>SUM(D21:D31)</f>
        <v>1074670</v>
      </c>
      <c r="E20" s="75">
        <f t="shared" si="0"/>
        <v>90.217503540550311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/>
      <c r="D21" s="77"/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673640</v>
      </c>
      <c r="D22" s="77">
        <v>460182</v>
      </c>
      <c r="E22" s="76">
        <f t="shared" si="0"/>
        <v>68.3127486491301</v>
      </c>
      <c r="G22" s="111"/>
    </row>
    <row r="23" spans="1:7" ht="27" thickTop="1" thickBot="1" x14ac:dyDescent="0.25">
      <c r="A23" s="74">
        <v>11</v>
      </c>
      <c r="B23" s="96" t="s">
        <v>273</v>
      </c>
      <c r="C23" s="77"/>
      <c r="D23" s="77">
        <v>7887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59670</v>
      </c>
      <c r="D24" s="77">
        <v>122873</v>
      </c>
      <c r="E24" s="76">
        <f t="shared" si="0"/>
        <v>205.92089827383947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44089</v>
      </c>
      <c r="D25" s="77">
        <v>47446</v>
      </c>
      <c r="E25" s="76">
        <f t="shared" si="0"/>
        <v>107.61414411758035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375495</v>
      </c>
      <c r="D26" s="77">
        <v>399957</v>
      </c>
      <c r="E26" s="76">
        <f t="shared" si="0"/>
        <v>106.5146007270403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26740</v>
      </c>
      <c r="D27" s="77">
        <v>25477</v>
      </c>
      <c r="E27" s="76">
        <f t="shared" si="0"/>
        <v>95.276738967838455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11565</v>
      </c>
      <c r="D31" s="77">
        <v>10848</v>
      </c>
      <c r="E31" s="76">
        <f t="shared" si="0"/>
        <v>93.800259403372237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12199</v>
      </c>
      <c r="D32" s="79">
        <f>D11-D20-D16+D17</f>
        <v>19384</v>
      </c>
      <c r="E32" s="79">
        <f t="shared" si="0"/>
        <v>158.89827035002867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5579</v>
      </c>
      <c r="D33" s="79">
        <f>D34+D35+D36</f>
        <v>4657</v>
      </c>
      <c r="E33" s="75">
        <f t="shared" si="0"/>
        <v>83.4737408137659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5579</v>
      </c>
      <c r="D34" s="77">
        <v>4657</v>
      </c>
      <c r="E34" s="76">
        <f t="shared" si="0"/>
        <v>83.4737408137659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14422</v>
      </c>
      <c r="D37" s="75">
        <f>D38+D39+D40</f>
        <v>23665</v>
      </c>
      <c r="E37" s="75">
        <f t="shared" si="0"/>
        <v>164.08958535570656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14422</v>
      </c>
      <c r="D38" s="77">
        <v>23665</v>
      </c>
      <c r="E38" s="76">
        <f t="shared" si="0"/>
        <v>164.08958535570656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3356</v>
      </c>
      <c r="D41" s="75">
        <f>D32+D33-D37</f>
        <v>376</v>
      </c>
      <c r="E41" s="75">
        <f t="shared" si="0"/>
        <v>11.203814064362335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3356</v>
      </c>
      <c r="D43" s="75">
        <f>D41+D42</f>
        <v>376</v>
      </c>
      <c r="E43" s="75">
        <f t="shared" si="0"/>
        <v>11.203814064362335</v>
      </c>
    </row>
    <row r="44" spans="1:7" ht="14.25" thickTop="1" thickBot="1" x14ac:dyDescent="0.25">
      <c r="A44" s="74">
        <v>26</v>
      </c>
      <c r="B44" s="96" t="s">
        <v>5</v>
      </c>
      <c r="C44" s="77">
        <v>3107</v>
      </c>
      <c r="D44" s="77">
        <v>306</v>
      </c>
      <c r="E44" s="76">
        <f t="shared" si="0"/>
        <v>9.84872867718056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249</v>
      </c>
      <c r="D45" s="75">
        <f>D43-D44</f>
        <v>70</v>
      </c>
      <c r="E45" s="75">
        <f t="shared" si="0"/>
        <v>28.112449799196789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249</v>
      </c>
      <c r="D47" s="75">
        <f>D45-D46</f>
        <v>70</v>
      </c>
      <c r="E47" s="75">
        <f t="shared" si="0"/>
        <v>28.112449799196789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249</v>
      </c>
      <c r="D49" s="75">
        <f>D45+D48</f>
        <v>70</v>
      </c>
      <c r="E49" s="75">
        <f t="shared" si="0"/>
        <v>28.112449799196789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7" zoomScale="115" workbookViewId="0">
      <selection activeCell="C48" sqref="C4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ФАКОМ, АД - Скопје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12653</v>
      </c>
      <c r="C9" s="38">
        <f>C10+SUM(C12:C28)</f>
        <v>-20565</v>
      </c>
      <c r="D9" s="38">
        <f>IF(B9&lt;=0,0,C9/B9*100)</f>
        <v>-162.5306251481862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249</v>
      </c>
      <c r="C10" s="34">
        <v>70</v>
      </c>
      <c r="D10" s="122">
        <f>IF(B10&lt;=0,0,C10/B10*100)</f>
        <v>28.112449799196789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26740</v>
      </c>
      <c r="C12" s="34">
        <v>25477</v>
      </c>
      <c r="D12" s="122">
        <f t="shared" ref="D12:D28" si="0">IF(B12&lt;=0,0,C12/B12*100)</f>
        <v>95.276738967838455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-71895</v>
      </c>
      <c r="C14" s="34">
        <v>38682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45126</v>
      </c>
      <c r="C15" s="34">
        <v>-28078</v>
      </c>
      <c r="D15" s="122">
        <f t="shared" si="0"/>
        <v>-62.221335815272795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-54441</v>
      </c>
      <c r="C17" s="34">
        <v>3740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9028</v>
      </c>
      <c r="C18" s="34">
        <v>-45670</v>
      </c>
      <c r="D18" s="122">
        <f t="shared" si="0"/>
        <v>-505.87062472308378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56859</v>
      </c>
      <c r="C19" s="34">
        <v>-9667</v>
      </c>
      <c r="D19" s="122">
        <f t="shared" si="0"/>
        <v>-17.001705974427971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1347</v>
      </c>
      <c r="C21" s="34">
        <v>-4991</v>
      </c>
      <c r="D21" s="122">
        <f t="shared" si="0"/>
        <v>-370.5270972531552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-360</v>
      </c>
      <c r="C22" s="34">
        <v>-128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-54022</v>
      </c>
      <c r="C29" s="38">
        <f>SUM(C30:C38)</f>
        <v>-29672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-55237</v>
      </c>
      <c r="C30" s="34">
        <v>-29660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1236</v>
      </c>
      <c r="C31" s="34">
        <v>1236</v>
      </c>
      <c r="D31" s="122">
        <f t="shared" ref="D31:D38" si="1">IF(B31&lt;=0,0,C31/B31*100)</f>
        <v>100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-21</v>
      </c>
      <c r="C38" s="34">
        <v>-1248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40564</v>
      </c>
      <c r="C39" s="38">
        <f>SUM(C40:C46)</f>
        <v>50262</v>
      </c>
      <c r="D39" s="124">
        <f>IF(B39&lt;=0,0,C39/B39*100)</f>
        <v>123.9078986293265</v>
      </c>
      <c r="E39" s="7"/>
      <c r="F39" s="7"/>
    </row>
    <row r="40" spans="1:6" ht="27" thickTop="1" thickBot="1" x14ac:dyDescent="0.25">
      <c r="A40" s="29" t="s">
        <v>107</v>
      </c>
      <c r="B40" s="34">
        <v>929</v>
      </c>
      <c r="C40" s="34">
        <v>762</v>
      </c>
      <c r="D40" s="122">
        <f>IF(B40&lt;=0,0,C40/B40*100)</f>
        <v>82.023681377825625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39635</v>
      </c>
      <c r="C42" s="34">
        <v>49500</v>
      </c>
      <c r="D42" s="122">
        <f t="shared" si="2"/>
        <v>124.88961776207897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-805</v>
      </c>
      <c r="C47" s="38">
        <f>C9+C29+C39</f>
        <v>25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1458</v>
      </c>
      <c r="C48" s="34">
        <v>653</v>
      </c>
      <c r="D48" s="122">
        <f t="shared" si="2"/>
        <v>44.787379972565155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653</v>
      </c>
      <c r="C49" s="38">
        <f>C47+C48</f>
        <v>678</v>
      </c>
      <c r="D49" s="38">
        <f t="shared" si="2"/>
        <v>103.82848392036755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8" zoomScale="110" workbookViewId="0">
      <selection activeCell="C17" sqref="C17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ФАКОМ, АД -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207703</v>
      </c>
      <c r="C9" s="30">
        <v>-26878</v>
      </c>
      <c r="D9" s="30">
        <v>79019</v>
      </c>
      <c r="E9" s="30">
        <v>263315</v>
      </c>
      <c r="F9" s="30"/>
      <c r="G9" s="23">
        <f t="shared" ref="G9:G27" si="0">SUM(B9:F9)</f>
        <v>523159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249</v>
      </c>
      <c r="F14" s="31"/>
      <c r="G14" s="23">
        <f t="shared" si="0"/>
        <v>249</v>
      </c>
    </row>
    <row r="15" spans="1:7" x14ac:dyDescent="0.2">
      <c r="A15" s="19" t="s">
        <v>119</v>
      </c>
      <c r="B15" s="31"/>
      <c r="C15" s="31"/>
      <c r="D15" s="31">
        <v>908</v>
      </c>
      <c r="E15" s="31">
        <v>-908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-9000</v>
      </c>
      <c r="F16" s="31"/>
      <c r="G16" s="23">
        <f t="shared" si="0"/>
        <v>-9000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21</v>
      </c>
      <c r="E20" s="31"/>
      <c r="F20" s="31"/>
      <c r="G20" s="23">
        <f t="shared" si="0"/>
        <v>21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207703</v>
      </c>
      <c r="C28" s="26">
        <f t="shared" si="1"/>
        <v>-26878</v>
      </c>
      <c r="D28" s="26">
        <f t="shared" si="1"/>
        <v>79948</v>
      </c>
      <c r="E28" s="26">
        <f t="shared" si="1"/>
        <v>253656</v>
      </c>
      <c r="F28" s="26">
        <f t="shared" si="1"/>
        <v>0</v>
      </c>
      <c r="G28" s="26">
        <f t="shared" si="1"/>
        <v>514429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70</v>
      </c>
      <c r="F33" s="31"/>
      <c r="G33" s="25">
        <f t="shared" si="2"/>
        <v>70</v>
      </c>
    </row>
    <row r="34" spans="1:7" x14ac:dyDescent="0.2">
      <c r="A34" s="19" t="s">
        <v>119</v>
      </c>
      <c r="B34" s="31"/>
      <c r="C34" s="31"/>
      <c r="D34" s="31">
        <v>249</v>
      </c>
      <c r="E34" s="31">
        <v>-249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512</v>
      </c>
      <c r="E39" s="31"/>
      <c r="F39" s="31"/>
      <c r="G39" s="25">
        <f t="shared" si="2"/>
        <v>512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207703</v>
      </c>
      <c r="C47" s="24">
        <f t="shared" si="3"/>
        <v>-26878</v>
      </c>
      <c r="D47" s="24">
        <f t="shared" si="3"/>
        <v>80709</v>
      </c>
      <c r="E47" s="24">
        <f t="shared" si="3"/>
        <v>253477</v>
      </c>
      <c r="F47" s="24">
        <f t="shared" si="3"/>
        <v>0</v>
      </c>
      <c r="G47" s="24">
        <f t="shared" si="3"/>
        <v>515011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ФАКОМ, АД -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204699</v>
      </c>
      <c r="C8" s="130">
        <f>'Биланс на состојба'!C11</f>
        <v>208894</v>
      </c>
      <c r="D8" s="130">
        <f>'Биланс на состојба'!D11</f>
        <v>102.04935050977288</v>
      </c>
    </row>
    <row r="9" spans="1:4" ht="14.25" thickTop="1" thickBot="1" x14ac:dyDescent="0.25">
      <c r="A9" s="131" t="s">
        <v>189</v>
      </c>
      <c r="B9" s="132">
        <f>'Биланс на состојба'!B12</f>
        <v>2238</v>
      </c>
      <c r="C9" s="132">
        <f>'Биланс на состојба'!C12</f>
        <v>1002</v>
      </c>
      <c r="D9" s="130">
        <f>'Биланс на состојба'!D12</f>
        <v>44.772117962466488</v>
      </c>
    </row>
    <row r="10" spans="1:4" ht="14.25" thickTop="1" thickBot="1" x14ac:dyDescent="0.25">
      <c r="A10" s="129" t="s">
        <v>190</v>
      </c>
      <c r="B10" s="130">
        <f>'Биланс на состојба'!B13</f>
        <v>198990</v>
      </c>
      <c r="C10" s="130">
        <f>'Биланс на состојба'!C13</f>
        <v>203172</v>
      </c>
      <c r="D10" s="130">
        <f>'Биланс на состојба'!D13</f>
        <v>102.10161314638925</v>
      </c>
    </row>
    <row r="11" spans="1:4" ht="14.25" thickTop="1" thickBot="1" x14ac:dyDescent="0.25">
      <c r="A11" s="133" t="s">
        <v>327</v>
      </c>
      <c r="B11" s="132">
        <f>'Биланс на состојба'!B14</f>
        <v>100231</v>
      </c>
      <c r="C11" s="132">
        <f>'Биланс на состојба'!C14</f>
        <v>108229</v>
      </c>
      <c r="D11" s="134">
        <f>'Биланс на состојба'!D14</f>
        <v>107.97956719976854</v>
      </c>
    </row>
    <row r="12" spans="1:4" ht="14.25" thickTop="1" thickBot="1" x14ac:dyDescent="0.25">
      <c r="A12" s="133" t="s">
        <v>328</v>
      </c>
      <c r="B12" s="132">
        <f>'Биланс на состојба'!B15</f>
        <v>86704</v>
      </c>
      <c r="C12" s="132">
        <f>'Биланс на состојба'!C15</f>
        <v>84634</v>
      </c>
      <c r="D12" s="134">
        <f>'Биланс на состојба'!D15</f>
        <v>97.612566894260937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12055</v>
      </c>
      <c r="C14" s="132">
        <f>'Биланс на состојба'!C17</f>
        <v>10309</v>
      </c>
      <c r="D14" s="134">
        <f>'Биланс на состојба'!D17</f>
        <v>85.516383243467445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3471</v>
      </c>
      <c r="C16" s="130">
        <f>'Биланс на состојба'!C19</f>
        <v>4720</v>
      </c>
      <c r="D16" s="130">
        <f>'Биланс на состојба'!D19</f>
        <v>135.98386632094497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3471</v>
      </c>
      <c r="C20" s="132">
        <f>'Биланс на состојба'!C23</f>
        <v>4720</v>
      </c>
      <c r="D20" s="134">
        <f>'Биланс на состојба'!D23</f>
        <v>135.98386632094497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1155053</v>
      </c>
      <c r="C24" s="132">
        <f>'Биланс на состојба'!C27</f>
        <v>1186405</v>
      </c>
      <c r="D24" s="130">
        <f>'Биланс на состојба'!D27</f>
        <v>102.71433432058963</v>
      </c>
    </row>
    <row r="25" spans="1:4" ht="14.25" thickTop="1" thickBot="1" x14ac:dyDescent="0.25">
      <c r="A25" s="131" t="s">
        <v>196</v>
      </c>
      <c r="B25" s="130">
        <f>'Биланс на состојба'!B28</f>
        <v>339240</v>
      </c>
      <c r="C25" s="130">
        <f>'Биланс на состојба'!C28</f>
        <v>300559</v>
      </c>
      <c r="D25" s="134">
        <f>'Биланс на состојба'!D28</f>
        <v>88.597747907086429</v>
      </c>
    </row>
    <row r="26" spans="1:4" ht="14.25" thickTop="1" thickBot="1" x14ac:dyDescent="0.25">
      <c r="A26" s="133" t="s">
        <v>197</v>
      </c>
      <c r="B26" s="132">
        <f>'Биланс на состојба'!B29</f>
        <v>161165</v>
      </c>
      <c r="C26" s="132">
        <f>'Биланс на состојба'!C29</f>
        <v>188369</v>
      </c>
      <c r="D26" s="134">
        <f>'Биланс на состојба'!D29</f>
        <v>116.87959544566129</v>
      </c>
    </row>
    <row r="27" spans="1:4" ht="14.25" thickTop="1" thickBot="1" x14ac:dyDescent="0.25">
      <c r="A27" s="133" t="s">
        <v>336</v>
      </c>
      <c r="B27" s="132">
        <f>'Биланс на состојба'!B30</f>
        <v>28976</v>
      </c>
      <c r="C27" s="132">
        <f>'Биланс на состојба'!C30</f>
        <v>17844</v>
      </c>
      <c r="D27" s="134">
        <f>'Биланс на состојба'!D30</f>
        <v>61.581998895637767</v>
      </c>
    </row>
    <row r="28" spans="1:4" ht="14.25" thickTop="1" thickBot="1" x14ac:dyDescent="0.25">
      <c r="A28" s="133" t="s">
        <v>198</v>
      </c>
      <c r="B28" s="132">
        <f>'Биланс на состојба'!B31</f>
        <v>234221</v>
      </c>
      <c r="C28" s="132">
        <f>'Биланс на состојба'!C31</f>
        <v>242486</v>
      </c>
      <c r="D28" s="134">
        <f>'Биланс на состојба'!D31</f>
        <v>103.52871860337032</v>
      </c>
    </row>
    <row r="29" spans="1:4" ht="14.25" thickTop="1" thickBot="1" x14ac:dyDescent="0.25">
      <c r="A29" s="131" t="s">
        <v>199</v>
      </c>
      <c r="B29" s="132">
        <f>'Биланс на состојба'!B32</f>
        <v>653</v>
      </c>
      <c r="C29" s="132">
        <f>'Биланс на состојба'!C32</f>
        <v>678</v>
      </c>
      <c r="D29" s="134">
        <f>'Биланс на состојба'!D32</f>
        <v>103.82848392036755</v>
      </c>
    </row>
    <row r="30" spans="1:4" ht="14.25" thickTop="1" thickBot="1" x14ac:dyDescent="0.25">
      <c r="A30" s="131" t="s">
        <v>337</v>
      </c>
      <c r="B30" s="132">
        <f>'Биланс на состојба'!B33</f>
        <v>390798</v>
      </c>
      <c r="C30" s="132">
        <f>'Биланс на состојба'!C33</f>
        <v>436469</v>
      </c>
      <c r="D30" s="134">
        <f>'Биланс на состојба'!D33</f>
        <v>111.68660023848638</v>
      </c>
    </row>
    <row r="31" spans="1:4" ht="14.25" thickTop="1" thickBot="1" x14ac:dyDescent="0.25">
      <c r="A31" s="137" t="s">
        <v>200</v>
      </c>
      <c r="B31" s="130">
        <f>'Биланс на состојба'!B34</f>
        <v>1359752</v>
      </c>
      <c r="C31" s="130">
        <f>'Биланс на состојба'!C34</f>
        <v>1395299</v>
      </c>
      <c r="D31" s="130">
        <f>'Биланс на состојба'!D34</f>
        <v>102.61422671192982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514429</v>
      </c>
      <c r="C34" s="130">
        <f>'Биланс на состојба'!C37</f>
        <v>515012</v>
      </c>
      <c r="D34" s="130">
        <f>'Биланс на состојба'!D37</f>
        <v>100.1133295362431</v>
      </c>
    </row>
    <row r="35" spans="1:4" ht="14.25" thickTop="1" thickBot="1" x14ac:dyDescent="0.25">
      <c r="A35" s="141" t="s">
        <v>338</v>
      </c>
      <c r="B35" s="132">
        <f>'Биланс на состојба'!B38</f>
        <v>180826</v>
      </c>
      <c r="C35" s="132">
        <f>'Биланс на состојба'!C38</f>
        <v>180826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79947</v>
      </c>
      <c r="C36" s="132">
        <f>'Биланс на состојба'!C39</f>
        <v>80709</v>
      </c>
      <c r="D36" s="134">
        <f>'Биланс на состојба'!D39</f>
        <v>100.95313144958536</v>
      </c>
    </row>
    <row r="37" spans="1:4" ht="14.25" thickTop="1" thickBot="1" x14ac:dyDescent="0.25">
      <c r="A37" s="131" t="s">
        <v>205</v>
      </c>
      <c r="B37" s="132">
        <f>'Биланс на состојба'!B40</f>
        <v>253656</v>
      </c>
      <c r="C37" s="132">
        <f>'Биланс на состојба'!C40</f>
        <v>253477</v>
      </c>
      <c r="D37" s="134">
        <f>'Биланс на состојба'!D40</f>
        <v>99.929431986627563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845323</v>
      </c>
      <c r="C39" s="130">
        <f>'Биланс на состојба'!C42</f>
        <v>880287</v>
      </c>
      <c r="D39" s="130">
        <f>'Биланс на состојба'!D42</f>
        <v>104.13617043426004</v>
      </c>
    </row>
    <row r="40" spans="1:4" ht="14.25" thickTop="1" thickBot="1" x14ac:dyDescent="0.25">
      <c r="A40" s="137" t="s">
        <v>208</v>
      </c>
      <c r="B40" s="130">
        <f>'Биланс на состојба'!B43</f>
        <v>796291</v>
      </c>
      <c r="C40" s="130">
        <f>'Биланс на состојба'!C43</f>
        <v>831255</v>
      </c>
      <c r="D40" s="130">
        <f>'Биланс на состојба'!D43</f>
        <v>104.39085711128217</v>
      </c>
    </row>
    <row r="41" spans="1:4" ht="14.25" thickTop="1" thickBot="1" x14ac:dyDescent="0.25">
      <c r="A41" s="131" t="s">
        <v>209</v>
      </c>
      <c r="B41" s="132">
        <f>'Биланс на состојба'!B44</f>
        <v>514675</v>
      </c>
      <c r="C41" s="132">
        <f>'Биланс на состојба'!C44</f>
        <v>505008</v>
      </c>
      <c r="D41" s="134">
        <f>'Биланс на состојба'!D44</f>
        <v>98.121727303638224</v>
      </c>
    </row>
    <row r="42" spans="1:4" ht="14.25" thickTop="1" thickBot="1" x14ac:dyDescent="0.25">
      <c r="A42" s="133" t="s">
        <v>210</v>
      </c>
      <c r="B42" s="132">
        <f>'Биланс на состојба'!B45</f>
        <v>242956</v>
      </c>
      <c r="C42" s="132">
        <f>'Биланс на состојба'!C45</f>
        <v>292456</v>
      </c>
      <c r="D42" s="134">
        <f>'Биланс на состојба'!D45</f>
        <v>120.37405950048567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8662</v>
      </c>
      <c r="C44" s="132">
        <f>'Биланс на состојба'!C47</f>
        <v>10156</v>
      </c>
      <c r="D44" s="134">
        <f>'Биланс на состојба'!D47</f>
        <v>117.24774878780882</v>
      </c>
    </row>
    <row r="45" spans="1:4" ht="14.25" thickTop="1" thickBot="1" x14ac:dyDescent="0.25">
      <c r="A45" s="133" t="s">
        <v>339</v>
      </c>
      <c r="B45" s="134">
        <f>'Биланс на состојба'!B48</f>
        <v>29687</v>
      </c>
      <c r="C45" s="134">
        <f>'Биланс на состојба'!C48</f>
        <v>23452</v>
      </c>
      <c r="D45" s="134">
        <f>'Биланс на состојба'!D48</f>
        <v>78.997541011217038</v>
      </c>
    </row>
    <row r="46" spans="1:4" ht="14.25" thickTop="1" thickBot="1" x14ac:dyDescent="0.25">
      <c r="A46" s="133" t="s">
        <v>340</v>
      </c>
      <c r="B46" s="132">
        <f>'Биланс на состојба'!B49</f>
        <v>311</v>
      </c>
      <c r="C46" s="132">
        <f>'Биланс на состојба'!C49</f>
        <v>183</v>
      </c>
      <c r="D46" s="134">
        <f>'Биланс на состојба'!D49</f>
        <v>58.842443729903536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49032</v>
      </c>
      <c r="C48" s="130">
        <f>'Биланс на состојба'!C51</f>
        <v>49032</v>
      </c>
      <c r="D48" s="130">
        <f>'Биланс на состојба'!D51</f>
        <v>100</v>
      </c>
    </row>
    <row r="49" spans="1:4" ht="14.25" thickTop="1" thickBot="1" x14ac:dyDescent="0.25">
      <c r="A49" s="133" t="s">
        <v>214</v>
      </c>
      <c r="B49" s="132">
        <f>'Биланс на состојба'!B52</f>
        <v>49032</v>
      </c>
      <c r="C49" s="132">
        <f>'Биланс на состојба'!C52</f>
        <v>49032</v>
      </c>
      <c r="D49" s="134">
        <f>'Биланс на состојба'!D52</f>
        <v>100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1359752</v>
      </c>
      <c r="C53" s="130">
        <f>'Биланс на состојба'!C56</f>
        <v>1395299</v>
      </c>
      <c r="D53" s="130">
        <f>'Биланс на состојба'!D56</f>
        <v>102.61422671192982</v>
      </c>
    </row>
    <row r="54" spans="1:4" ht="14.25" thickTop="1" thickBot="1" x14ac:dyDescent="0.25">
      <c r="A54" s="131" t="s">
        <v>218</v>
      </c>
      <c r="B54" s="132">
        <f>'Биланс на состојба'!B57</f>
        <v>25593</v>
      </c>
      <c r="C54" s="132">
        <f>'Биланс на состојба'!C57</f>
        <v>25593</v>
      </c>
      <c r="D54" s="134">
        <f>'Биланс на состојба'!D57</f>
        <v>100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ФАКОМ, АД -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1203398</v>
      </c>
      <c r="D11" s="130">
        <f>'Биланс на успех - природа'!D11</f>
        <v>1094054</v>
      </c>
      <c r="E11" s="130">
        <f>'Биланс на успех - природа'!E11</f>
        <v>90.913729289894121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1184691</v>
      </c>
      <c r="D12" s="134">
        <f>'Биланс на успех - природа'!D12</f>
        <v>1079627</v>
      </c>
      <c r="E12" s="134">
        <f>'Биланс на успех - природа'!E12</f>
        <v>91.131527123950463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217973</v>
      </c>
      <c r="D13" s="163">
        <f>'Биланс на успех - природа'!D13</f>
        <v>549913</v>
      </c>
      <c r="E13" s="134">
        <f>'Биланс на успех - природа'!E13</f>
        <v>252.28491602170911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966718</v>
      </c>
      <c r="D14" s="163">
        <f>'Биланс на успех - природа'!D14</f>
        <v>529714</v>
      </c>
      <c r="E14" s="134">
        <f>'Биланс на успех - природа'!E14</f>
        <v>54.795090191762228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18707</v>
      </c>
      <c r="D19" s="163">
        <f>'Биланс на успех - природа'!D19</f>
        <v>14427</v>
      </c>
      <c r="E19" s="134">
        <f>'Биланс на успех - природа'!E19</f>
        <v>77.120863847757519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1191199</v>
      </c>
      <c r="D20" s="130">
        <f>'Биланс на успех - природа'!D20</f>
        <v>1074670</v>
      </c>
      <c r="E20" s="130">
        <f>'Биланс на успех - природа'!E20</f>
        <v>90.217503540550311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673640</v>
      </c>
      <c r="D22" s="163">
        <f>'Биланс на успех - природа'!D22</f>
        <v>460182</v>
      </c>
      <c r="E22" s="134">
        <f>'Биланс на успех - природа'!E22</f>
        <v>68.3127486491301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7887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59670</v>
      </c>
      <c r="D24" s="163">
        <f>'Биланс на успех - природа'!D24</f>
        <v>122873</v>
      </c>
      <c r="E24" s="134">
        <f>'Биланс на успех - природа'!E24</f>
        <v>205.92089827383947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44089</v>
      </c>
      <c r="D25" s="163">
        <f>'Биланс на успех - природа'!D25</f>
        <v>47446</v>
      </c>
      <c r="E25" s="134">
        <f>'Биланс на успех - природа'!E25</f>
        <v>107.61414411758035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375495</v>
      </c>
      <c r="D26" s="163">
        <f>'Биланс на успех - природа'!D26</f>
        <v>399957</v>
      </c>
      <c r="E26" s="134">
        <f>'Биланс на успех - природа'!E26</f>
        <v>106.5146007270403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26740</v>
      </c>
      <c r="D27" s="163">
        <f>'Биланс на успех - природа'!D27</f>
        <v>25477</v>
      </c>
      <c r="E27" s="134">
        <f>'Биланс на успех - природа'!E27</f>
        <v>95.276738967838455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11565</v>
      </c>
      <c r="D31" s="163">
        <f>'Биланс на успех - природа'!D31</f>
        <v>10848</v>
      </c>
      <c r="E31" s="134">
        <f>'Биланс на успех - природа'!E31</f>
        <v>93.800259403372237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12199</v>
      </c>
      <c r="D32" s="167">
        <f>'Биланс на успех - природа'!D32</f>
        <v>19384</v>
      </c>
      <c r="E32" s="167">
        <f>'Биланс на успех - природа'!E32</f>
        <v>158.89827035002867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5579</v>
      </c>
      <c r="D33" s="167">
        <f>'Биланс на успех - природа'!D33</f>
        <v>4657</v>
      </c>
      <c r="E33" s="130">
        <f>'Биланс на успех - природа'!E33</f>
        <v>83.4737408137659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5579</v>
      </c>
      <c r="D34" s="163">
        <f>'Биланс на успех - природа'!D34</f>
        <v>4657</v>
      </c>
      <c r="E34" s="134">
        <f>'Биланс на успех - природа'!E34</f>
        <v>83.4737408137659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14422</v>
      </c>
      <c r="D37" s="130">
        <f>'Биланс на успех - природа'!D37</f>
        <v>23665</v>
      </c>
      <c r="E37" s="130">
        <f>'Биланс на успех - природа'!E37</f>
        <v>164.08958535570656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14422</v>
      </c>
      <c r="D38" s="163">
        <f>'Биланс на успех - природа'!D38</f>
        <v>23665</v>
      </c>
      <c r="E38" s="134">
        <f>'Биланс на успех - природа'!E38</f>
        <v>164.08958535570656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3356</v>
      </c>
      <c r="D41" s="130">
        <f>'Биланс на успех - природа'!D41</f>
        <v>376</v>
      </c>
      <c r="E41" s="130">
        <f>'Биланс на успех - природа'!E41</f>
        <v>11.203814064362335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3356</v>
      </c>
      <c r="D43" s="130">
        <f>'Биланс на успех - природа'!D43</f>
        <v>376</v>
      </c>
      <c r="E43" s="130">
        <f>'Биланс на успех - природа'!E43</f>
        <v>11.203814064362335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3107</v>
      </c>
      <c r="D44" s="163">
        <f>'Биланс на успех - природа'!D44</f>
        <v>306</v>
      </c>
      <c r="E44" s="134">
        <f>'Биланс на успех - природа'!E44</f>
        <v>9.84872867718056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249</v>
      </c>
      <c r="D45" s="130">
        <f>'Биланс на успех - природа'!D45</f>
        <v>70</v>
      </c>
      <c r="E45" s="130">
        <f>'Биланс на успех - природа'!E45</f>
        <v>28.112449799196789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249</v>
      </c>
      <c r="D47" s="130">
        <f>'Биланс на успех - природа'!D47</f>
        <v>70</v>
      </c>
      <c r="E47" s="130">
        <f>'Биланс на успех - природа'!E47</f>
        <v>28.112449799196789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249</v>
      </c>
      <c r="D49" s="130">
        <f>'Биланс на успех - природа'!D49</f>
        <v>70</v>
      </c>
      <c r="E49" s="130">
        <f>'Биланс на успех - природа'!E49</f>
        <v>28.112449799196789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ФАКОМ, АД -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12653</v>
      </c>
      <c r="C8" s="178">
        <f>'Паричен тек'!C9</f>
        <v>-20565</v>
      </c>
      <c r="D8" s="178">
        <f>'Паричен тек'!D9</f>
        <v>-162.5306251481862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249</v>
      </c>
      <c r="C9" s="180">
        <f>'Паричен тек'!C10</f>
        <v>70</v>
      </c>
      <c r="D9" s="180">
        <f>'Паричен тек'!D10</f>
        <v>28.112449799196789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26740</v>
      </c>
      <c r="C11" s="182">
        <f>'Паричен тек'!C12</f>
        <v>25477</v>
      </c>
      <c r="D11" s="182">
        <f>'Паричен тек'!D12</f>
        <v>95.276738967838455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-71895</v>
      </c>
      <c r="C13" s="182">
        <f>'Паричен тек'!C14</f>
        <v>38682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45126</v>
      </c>
      <c r="C14" s="182">
        <f>'Паричен тек'!C15</f>
        <v>-28078</v>
      </c>
      <c r="D14" s="182">
        <f>'Паричен тек'!D15</f>
        <v>-62.221335815272795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-54441</v>
      </c>
      <c r="C16" s="182">
        <f>'Паричен тек'!C17</f>
        <v>3740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9028</v>
      </c>
      <c r="C17" s="182">
        <f>'Паричен тек'!C18</f>
        <v>-45670</v>
      </c>
      <c r="D17" s="182">
        <f>'Паричен тек'!D18</f>
        <v>-505.87062472308378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56859</v>
      </c>
      <c r="C18" s="182">
        <f>'Паричен тек'!C19</f>
        <v>-9667</v>
      </c>
      <c r="D18" s="182">
        <f>'Паричен тек'!D19</f>
        <v>-17.001705974427971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1347</v>
      </c>
      <c r="C20" s="182">
        <f>'Паричен тек'!C21</f>
        <v>-4991</v>
      </c>
      <c r="D20" s="182">
        <f>'Паричен тек'!D21</f>
        <v>-370.5270972531552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-360</v>
      </c>
      <c r="C21" s="182">
        <f>'Паричен тек'!C22</f>
        <v>-128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-54022</v>
      </c>
      <c r="C28" s="178">
        <f>'Паричен тек'!C29</f>
        <v>-29672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-55237</v>
      </c>
      <c r="C29" s="182">
        <f>'Паричен тек'!C30</f>
        <v>-29660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1236</v>
      </c>
      <c r="C30" s="182">
        <f>'Паричен тек'!C31</f>
        <v>1236</v>
      </c>
      <c r="D30" s="182">
        <f>'Паричен тек'!D31</f>
        <v>100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-21</v>
      </c>
      <c r="C37" s="182">
        <f>'Паричен тек'!C38</f>
        <v>-1248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40564</v>
      </c>
      <c r="C38" s="178">
        <f>'Паричен тек'!C39</f>
        <v>50262</v>
      </c>
      <c r="D38" s="178">
        <f>'Паричен тек'!D39</f>
        <v>123.9078986293265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929</v>
      </c>
      <c r="C39" s="182">
        <f>'Паричен тек'!C40</f>
        <v>762</v>
      </c>
      <c r="D39" s="182">
        <f>'Паричен тек'!D40</f>
        <v>82.023681377825625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39635</v>
      </c>
      <c r="C41" s="182">
        <f>'Паричен тек'!C42</f>
        <v>49500</v>
      </c>
      <c r="D41" s="182">
        <f>'Паричен тек'!D42</f>
        <v>124.88961776207897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-805</v>
      </c>
      <c r="C46" s="178">
        <f>'Паричен тек'!C47</f>
        <v>25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1458</v>
      </c>
      <c r="C47" s="182">
        <f>'Паричен тек'!C48</f>
        <v>653</v>
      </c>
      <c r="D47" s="182">
        <f>'Паричен тек'!D48</f>
        <v>44.787379972565155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653</v>
      </c>
      <c r="C48" s="178">
        <f>'Паричен тек'!C49</f>
        <v>678</v>
      </c>
      <c r="D48" s="178">
        <f>'Паричен тек'!D49</f>
        <v>103.82848392036755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ФАКОМ, АД - Скопје</v>
      </c>
      <c r="C2" s="268"/>
      <c r="D2" s="268"/>
      <c r="E2" s="186" t="s">
        <v>326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207703</v>
      </c>
      <c r="C7" s="192">
        <f>Капитал!C9</f>
        <v>-26878</v>
      </c>
      <c r="D7" s="192">
        <f>Капитал!D9</f>
        <v>79019</v>
      </c>
      <c r="E7" s="192">
        <f>Капитал!E9</f>
        <v>263315</v>
      </c>
      <c r="F7" s="192">
        <f>Капитал!F9</f>
        <v>0</v>
      </c>
      <c r="G7" s="193">
        <f>Капитал!G9</f>
        <v>523159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249</v>
      </c>
      <c r="F12" s="195">
        <f>Капитал!F14</f>
        <v>0</v>
      </c>
      <c r="G12" s="193">
        <f>Капитал!G14</f>
        <v>249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908</v>
      </c>
      <c r="E13" s="195">
        <f>Капитал!E15</f>
        <v>-908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-9000</v>
      </c>
      <c r="F14" s="195">
        <f>Капитал!F16</f>
        <v>0</v>
      </c>
      <c r="G14" s="193">
        <f>Капитал!G16</f>
        <v>-9000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21</v>
      </c>
      <c r="E18" s="195">
        <f>Капитал!E20</f>
        <v>0</v>
      </c>
      <c r="F18" s="195">
        <f>Капитал!F20</f>
        <v>0</v>
      </c>
      <c r="G18" s="193">
        <f>Капитал!G20</f>
        <v>21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207703</v>
      </c>
      <c r="C26" s="199">
        <f>Капитал!C28</f>
        <v>-26878</v>
      </c>
      <c r="D26" s="199">
        <f>Капитал!D28</f>
        <v>79948</v>
      </c>
      <c r="E26" s="199">
        <f>Капитал!E28</f>
        <v>253656</v>
      </c>
      <c r="F26" s="199">
        <f>Капитал!F28</f>
        <v>0</v>
      </c>
      <c r="G26" s="199">
        <f>Капитал!G28</f>
        <v>514429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70</v>
      </c>
      <c r="F31" s="195">
        <f>Капитал!F33</f>
        <v>0</v>
      </c>
      <c r="G31" s="201">
        <f>Капитал!G33</f>
        <v>70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249</v>
      </c>
      <c r="E32" s="195">
        <f>Капитал!E34</f>
        <v>-249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512</v>
      </c>
      <c r="E37" s="195">
        <f>Капитал!E39</f>
        <v>0</v>
      </c>
      <c r="F37" s="195">
        <f>Капитал!F39</f>
        <v>0</v>
      </c>
      <c r="G37" s="201">
        <f>Капитал!G39</f>
        <v>512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207703</v>
      </c>
      <c r="C45" s="199">
        <f>Капитал!C47</f>
        <v>-26878</v>
      </c>
      <c r="D45" s="199">
        <f>Капитал!D47</f>
        <v>80709</v>
      </c>
      <c r="E45" s="199">
        <f>Капитал!E47</f>
        <v>253477</v>
      </c>
      <c r="F45" s="199">
        <f>Капитал!F47</f>
        <v>0</v>
      </c>
      <c r="G45" s="199">
        <f>Капитал!G47</f>
        <v>515011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Violeta Cvetkovska</cp:lastModifiedBy>
  <cp:lastPrinted>2024-03-01T10:52:13Z</cp:lastPrinted>
  <dcterms:created xsi:type="dcterms:W3CDTF">2008-02-12T15:15:13Z</dcterms:created>
  <dcterms:modified xsi:type="dcterms:W3CDTF">2024-03-01T13:26:21Z</dcterms:modified>
</cp:coreProperties>
</file>